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Book" sheetId="3" r:id="rId3"/>
    <sheet name="Price sensitivity" sheetId="4" r:id="rId4"/>
    <sheet name="Ramp" sheetId="5" r:id="rId5"/>
    <sheet name="Ramp scenarios" sheetId="6" r:id="rId6"/>
    <sheet name="Workload" sheetId="7" r:id="rId7"/>
    <sheet name="Thresholds" sheetId="8" r:id="rId8"/>
    <sheet name="Residual" sheetId="9" r:id="rId9"/>
    <sheet name="Employee" sheetId="10" r:id="rId10"/>
    <sheet name="Sources" sheetId="11" r:id="rId11"/>
  </sheets>
  <definedNames>
    <definedName name="AcquisitionHours">'Inputs'!$B$16</definedName>
    <definedName name="AdminHours">'Inputs'!$B$18</definedName>
    <definedName name="CashCAC">'Inputs'!$B$17</definedName>
    <definedName name="ClientRevenue">'Inputs'!$B$5</definedName>
    <definedName name="CommissionPerSale">'Inputs'!$B$25</definedName>
    <definedName name="DirectContribution">'Inputs'!$B$27</definedName>
    <definedName name="EmployeeHourly">'Inputs'!$B$22</definedName>
    <definedName name="EmployeeSalesMonth">'Inputs'!$B$26</definedName>
    <definedName name="EntryRate">'Inputs'!$B$6</definedName>
    <definedName name="FoundingBonus">'Inputs'!$B$11</definedName>
    <definedName name="HoursPerWeek">'Inputs'!$B$23</definedName>
    <definedName name="MatureClients">'Inputs'!$B$20</definedName>
    <definedName name="MidRate">'Inputs'!$B$7</definedName>
    <definedName name="MidThreshold">'Inputs'!$B$9</definedName>
    <definedName name="MonthlyChurn">'Inputs'!$B$14</definedName>
    <definedName name="MonthlyExpenses">'Inputs'!$B$19</definedName>
    <definedName name="PaidWeeks">'Inputs'!$B$24</definedName>
    <definedName name="RampAcquisitions">'Inputs'!$B$13</definedName>
    <definedName name="ResidualRate">'Inputs'!$B$21</definedName>
    <definedName name="SupportHours">'Inputs'!$B$15</definedName>
    <definedName name="TargetGross">'Inputs'!$B$12</definedName>
    <definedName name="TopRate">'Inputs'!$B$8</definedName>
    <definedName name="TopThreshold">'Inputs'!$B$10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B5" authorId="0">
      <text>
        <r>
          <rPr>
            <sz val="8"/>
            <color indexed="81"/>
            <rFont val="Tahoma"/>
            <family val="2"/>
          </rPr>
          <t>Deck slide 4 — Monthly eligible revenue per client. Deck example, not validated average; all calculations assume no further platform deduction.</t>
        </r>
      </text>
    </comment>
    <comment ref="B6" authorId="0">
      <text>
        <r>
          <rPr>
            <sz val="8"/>
            <color indexed="81"/>
            <rFont val="Tahoma"/>
            <family val="2"/>
          </rPr>
          <t>Deck slides 3–4 — Approved operator entry share.</t>
        </r>
      </text>
    </comment>
    <comment ref="B7" authorId="0">
      <text>
        <r>
          <rPr>
            <sz val="8"/>
            <color indexed="81"/>
            <rFont val="Tahoma"/>
            <family val="2"/>
          </rPr>
          <t>Deck slides 3–4 — Middle operator share, applied to whole book in this model.</t>
        </r>
      </text>
    </comment>
    <comment ref="B8" authorId="0">
      <text>
        <r>
          <rPr>
            <sz val="8"/>
            <color indexed="81"/>
            <rFont val="Tahoma"/>
            <family val="2"/>
          </rPr>
          <t>Deck slides 3–4 — Top standard operator share.</t>
        </r>
      </text>
    </comment>
    <comment ref="B9" authorId="0">
      <text>
        <r>
          <rPr>
            <sz val="8"/>
            <color indexed="81"/>
            <rFont val="Tahoma"/>
            <family val="2"/>
          </rPr>
          <t>Deck slide 4 — Monthly eligible book revenue threshold.</t>
        </r>
      </text>
    </comment>
    <comment ref="B10" authorId="0">
      <text>
        <r>
          <rPr>
            <sz val="8"/>
            <color indexed="81"/>
            <rFont val="Tahoma"/>
            <family val="2"/>
          </rPr>
          <t>Deck slide 4 — Monthly eligible book revenue threshold.</t>
        </r>
      </text>
    </comment>
    <comment ref="B11" authorId="0">
      <text>
        <r>
          <rPr>
            <sz val="8"/>
            <color indexed="81"/>
            <rFont val="Tahoma"/>
            <family val="2"/>
          </rPr>
          <t>Deck slide 4 — Default standard operator. Enter 0.10 only to model the founding +10-point offer.</t>
        </r>
      </text>
    </comment>
    <comment ref="B12" authorId="0">
      <text>
        <r>
          <rPr>
            <sz val="8"/>
            <color indexed="81"/>
            <rFont val="Tahoma"/>
            <family val="2"/>
          </rPr>
          <t>Illustrative assumption — Target monthly payout before operator costs; analytical target, not a promise.</t>
        </r>
      </text>
    </comment>
    <comment ref="B13" authorId="0">
      <text>
        <r>
          <rPr>
            <sz val="8"/>
            <color indexed="81"/>
            <rFont val="Tahoma"/>
            <family val="2"/>
          </rPr>
          <t>Illustrative assumption — New customers per month from month 1. Already-approved operator; no trainee delay.</t>
        </r>
      </text>
    </comment>
    <comment ref="B14" authorId="0">
      <text>
        <r>
          <rPr>
            <sz val="8"/>
            <color indexed="81"/>
            <rFont val="Tahoma"/>
            <family val="2"/>
          </rPr>
          <t>Illustrative assumption, not observed — Fraction of opening accounts lost monthly. Used in ramp, maintenance and residual.</t>
        </r>
      </text>
    </comment>
    <comment ref="B15" authorId="0">
      <text>
        <r>
          <rPr>
            <sz val="8"/>
            <color indexed="81"/>
            <rFont val="Tahoma"/>
            <family val="2"/>
          </rPr>
          <t>Illustrative assumption — Routine monthly support hours per retained account.</t>
        </r>
      </text>
    </comment>
    <comment ref="B16" authorId="0">
      <text>
        <r>
          <rPr>
            <sz val="8"/>
            <color indexed="81"/>
            <rFont val="Tahoma"/>
            <family val="2"/>
          </rPr>
          <t>Illustrative assumption — Acquisition and setup hours per replacement customer.</t>
        </r>
      </text>
    </comment>
    <comment ref="B17" authorId="0">
      <text>
        <r>
          <rPr>
            <sz val="8"/>
            <color indexed="81"/>
            <rFont val="Tahoma"/>
            <family val="2"/>
          </rPr>
          <t>Illustrative assumption — Cash acquisition cost per replacement customer, separate from owner time.</t>
        </r>
      </text>
    </comment>
    <comment ref="B18" authorId="0">
      <text>
        <r>
          <rPr>
            <sz val="8"/>
            <color indexed="81"/>
            <rFont val="Tahoma"/>
            <family val="2"/>
          </rPr>
          <t>Illustrative assumption — Fixed monthly operator administration hours.</t>
        </r>
      </text>
    </comment>
    <comment ref="B19" authorId="0">
      <text>
        <r>
          <rPr>
            <sz val="8"/>
            <color indexed="81"/>
            <rFont val="Tahoma"/>
            <family val="2"/>
          </rPr>
          <t>Illustrative assumption — Other monthly operator expenses. Taxes, benefits and insurance excluded.</t>
        </r>
      </text>
    </comment>
    <comment ref="B20" authorId="0">
      <text>
        <r>
          <rPr>
            <sz val="8"/>
            <color indexed="81"/>
            <rFont val="Tahoma"/>
            <family val="2"/>
          </rPr>
          <t>Illustrative assumption — Existing customer book for maintenance and residual examples.</t>
        </r>
      </text>
    </comment>
    <comment ref="B21" authorId="0">
      <text>
        <r>
          <rPr>
            <sz val="8"/>
            <color indexed="81"/>
            <rFont val="Tahoma"/>
            <family val="2"/>
          </rPr>
          <t>Deck slides 4 and 7 — Continuing share after support transfers to Spindle.</t>
        </r>
      </text>
    </comment>
    <comment ref="B22" authorId="0">
      <text>
        <r>
          <rPr>
            <sz val="8"/>
            <color indexed="81"/>
            <rFont val="Tahoma"/>
            <family val="2"/>
          </rPr>
          <t>Illustrative assumption — Hypothetical employee wage. Deck does not specify actual pay.</t>
        </r>
      </text>
    </comment>
    <comment ref="B23" authorId="0">
      <text>
        <r>
          <rPr>
            <sz val="8"/>
            <color indexed="81"/>
            <rFont val="Tahoma"/>
            <family val="2"/>
          </rPr>
          <t>Illustrative assumption — Paid hours per week; no overtime modeled.</t>
        </r>
      </text>
    </comment>
    <comment ref="B24" authorId="0">
      <text>
        <r>
          <rPr>
            <sz val="8"/>
            <color indexed="81"/>
            <rFont val="Tahoma"/>
            <family val="2"/>
          </rPr>
          <t>Illustrative assumption — Paid weeks per year.</t>
        </r>
      </text>
    </comment>
    <comment ref="B25" authorId="0">
      <text>
        <r>
          <rPr>
            <sz val="8"/>
            <color indexed="81"/>
            <rFont val="Tahoma"/>
            <family val="2"/>
          </rPr>
          <t>Illustrative assumption — Hypothetical cash acquisition commission per paid sale.</t>
        </r>
      </text>
    </comment>
    <comment ref="B26" authorId="0">
      <text>
        <r>
          <rPr>
            <sz val="8"/>
            <color indexed="81"/>
            <rFont val="Tahoma"/>
            <family val="2"/>
          </rPr>
          <t>Illustrative assumption — Hypothetical paid sales per month from month 1; not validated quota.</t>
        </r>
      </text>
    </comment>
    <comment ref="B27" authorId="0">
      <text>
        <r>
          <rPr>
            <sz val="8"/>
            <color indexed="81"/>
            <rFont val="Tahoma"/>
            <family val="2"/>
          </rPr>
          <t>Illustrative assumption; not audited margin — Hypothetical monthly direct-customer contribution for cash-compensation payback only.</t>
        </r>
      </text>
    </comment>
  </commentList>
</comments>
</file>

<file path=xl/sharedStrings.xml><?xml version="1.0" encoding="utf-8"?>
<sst xmlns="http://schemas.openxmlformats.org/spreadsheetml/2006/main" count="272" uniqueCount="217">
  <si>
    <t>Read me</t>
  </si>
  <si>
    <t>Scenario arithmetic only. No Spindle earnings, churn, acquisition, or support outcomes were supplied. Blue cells are editable inputs. Gross business payout is not employee take-home pay.</t>
  </si>
  <si>
    <t>Topic</t>
  </si>
  <si>
    <t>Interpretation</t>
  </si>
  <si>
    <t>Purpose</t>
  </si>
  <si>
    <t>Explore how price, customer volume, acquisition, churn and workload affect the deck’s proposal. This is not an offer letter, forecast or legal assessment.</t>
  </si>
  <si>
    <t>Source version</t>
  </si>
  <si>
    <t>Ten-slide portfolio Operators HTML deck, dated 2026-07-10. Cover says design v1; surrounding portfolio says v5. Confirm current terms before relying on it.</t>
  </si>
  <si>
    <t>Accounting assumption</t>
  </si>
  <si>
    <t>Operator share applies to all eligible book revenue. Platform and delivery costs are assumed funded from Spindle’s share. Actual definitions of eligible revenue, deductions, usage and refund treatment require confirmation.</t>
  </si>
  <si>
    <t>Rate timing</t>
  </si>
  <si>
    <t>Book and Workload assume the displayed rate has taken effect. Ramp uses review every third month, effective the following month. Billing on new accounts is a full modeled month, an optimistic simplification.</t>
  </si>
  <si>
    <t>Ramp exclusions</t>
  </si>
  <si>
    <t>Starts with an approved operator, no book. Excludes trainee progression, recruitment failure, sales ramp, partial-month billing, acquisition expenses and original setup labor.</t>
  </si>
  <si>
    <t>Maintenance exclusions</t>
  </si>
  <si>
    <t>Workload shows maintenance of an already-built book, replacing churn. It excludes the original customer-acquisition effort, taxes, benefits and additional growth.</t>
  </si>
  <si>
    <t>Residual</t>
  </si>
  <si>
    <t>Runoff of the existing book without new acquisitions. Payment rights and conditions are proposed, not confirmed in an executed contract.</t>
  </si>
  <si>
    <t>Employee examples</t>
  </si>
  <si>
    <t>Hypothetical cash pay only. No overtime, payroll burden, benefits, expenses or proven quota attainment. Changes here are not changes to employment terms.</t>
  </si>
  <si>
    <t>How to use</t>
  </si>
  <si>
    <t>Change Inputs; formula sheets recalculate in Excel or compatible software. Cached results correspond to delivered defaults. Scenarios includes fixed alternatives; change those input cells directly.</t>
  </si>
  <si>
    <t>Context</t>
  </si>
  <si>
    <t>National wage benchmarks and selected competitor programs are context rather than like-for-like rankings. See the full report and Sources sheet.</t>
  </si>
  <si>
    <t>Review date</t>
  </si>
  <si>
    <t>2026-09-10. External prices and terms can change.</t>
  </si>
  <si>
    <t>Inputs</t>
  </si>
  <si>
    <t>Name</t>
  </si>
  <si>
    <t>Value</t>
  </si>
  <si>
    <t>Meaning</t>
  </si>
  <si>
    <t>Basis</t>
  </si>
  <si>
    <t>ClientRevenue</t>
  </si>
  <si>
    <t>Monthly eligible revenue per client. Deck example, not validated average; all calculations assume no further platform deduction.</t>
  </si>
  <si>
    <t>Deck slide 4</t>
  </si>
  <si>
    <t>EntryRate</t>
  </si>
  <si>
    <t>Approved operator entry share.</t>
  </si>
  <si>
    <t>Deck slides 3–4</t>
  </si>
  <si>
    <t>MidRate</t>
  </si>
  <si>
    <t>Middle operator share, applied to whole book in this model.</t>
  </si>
  <si>
    <t>TopRate</t>
  </si>
  <si>
    <t>Top standard operator share.</t>
  </si>
  <si>
    <t>MidThreshold</t>
  </si>
  <si>
    <t>Monthly eligible book revenue threshold.</t>
  </si>
  <si>
    <t>TopThreshold</t>
  </si>
  <si>
    <t>FoundingBonus</t>
  </si>
  <si>
    <t>Default standard operator. Enter 0.10 only to model the founding +10-point offer.</t>
  </si>
  <si>
    <t>TargetGross</t>
  </si>
  <si>
    <t>Target monthly payout before operator costs; analytical target, not a promise.</t>
  </si>
  <si>
    <t>Illustrative assumption</t>
  </si>
  <si>
    <t>RampAcquisitions</t>
  </si>
  <si>
    <t>New customers per month from month 1. Already-approved operator; no trainee delay.</t>
  </si>
  <si>
    <t>MonthlyChurn</t>
  </si>
  <si>
    <t>Fraction of opening accounts lost monthly. Used in ramp, maintenance and residual.</t>
  </si>
  <si>
    <t>Illustrative assumption, not observed</t>
  </si>
  <si>
    <t>SupportHours</t>
  </si>
  <si>
    <t>Routine monthly support hours per retained account.</t>
  </si>
  <si>
    <t>AcquisitionHours</t>
  </si>
  <si>
    <t>Acquisition and setup hours per replacement customer.</t>
  </si>
  <si>
    <t>CashCAC</t>
  </si>
  <si>
    <t>Cash acquisition cost per replacement customer, separate from owner time.</t>
  </si>
  <si>
    <t>AdminHours</t>
  </si>
  <si>
    <t>Fixed monthly operator administration hours.</t>
  </si>
  <si>
    <t>MonthlyExpenses</t>
  </si>
  <si>
    <t>Other monthly operator expenses. Taxes, benefits and insurance excluded.</t>
  </si>
  <si>
    <t>MatureClients</t>
  </si>
  <si>
    <t>Existing customer book for maintenance and residual examples.</t>
  </si>
  <si>
    <t>ResidualRate</t>
  </si>
  <si>
    <t>Continuing share after support transfers to Spindle.</t>
  </si>
  <si>
    <t>Deck slides 4 and 7</t>
  </si>
  <si>
    <t>EmployeeHourly</t>
  </si>
  <si>
    <t>Hypothetical employee wage. Deck does not specify actual pay.</t>
  </si>
  <si>
    <t>HoursPerWeek</t>
  </si>
  <si>
    <t>Paid hours per week; no overtime modeled.</t>
  </si>
  <si>
    <t>PaidWeeks</t>
  </si>
  <si>
    <t>Paid weeks per year.</t>
  </si>
  <si>
    <t>CommissionPerSale</t>
  </si>
  <si>
    <t>Hypothetical cash acquisition commission per paid sale.</t>
  </si>
  <si>
    <t>EmployeeSalesMonth</t>
  </si>
  <si>
    <t>Hypothetical paid sales per month from month 1; not validated quota.</t>
  </si>
  <si>
    <t>DirectContribution</t>
  </si>
  <si>
    <t>Hypothetical monthly direct-customer contribution for cash-compensation payback only.</t>
  </si>
  <si>
    <t>Illustrative assumption; not audited margin</t>
  </si>
  <si>
    <t>Book</t>
  </si>
  <si>
    <t>Clients</t>
  </si>
  <si>
    <t>Book revenue / mo</t>
  </si>
  <si>
    <t>Rate</t>
  </si>
  <si>
    <t>Gross payout / mo</t>
  </si>
  <si>
    <t>Annual at this level</t>
  </si>
  <si>
    <t>Price sensitivity</t>
  </si>
  <si>
    <t>Revenue / client</t>
  </si>
  <si>
    <t>Gross target / mo</t>
  </si>
  <si>
    <t>Clients needed</t>
  </si>
  <si>
    <t>Resulting book / mo</t>
  </si>
  <si>
    <t>Payout / mo</t>
  </si>
  <si>
    <t>Ramp</t>
  </si>
  <si>
    <t>Month</t>
  </si>
  <si>
    <t>Opening clients</t>
  </si>
  <si>
    <t>Lost clients</t>
  </si>
  <si>
    <t>New clients</t>
  </si>
  <si>
    <t>Closing clients</t>
  </si>
  <si>
    <t>Book revenue</t>
  </si>
  <si>
    <t>Rate in force</t>
  </si>
  <si>
    <t>Payout</t>
  </si>
  <si>
    <t>Cumulative payout</t>
  </si>
  <si>
    <t>Ramp scenarios</t>
  </si>
  <si>
    <t>New / month</t>
  </si>
  <si>
    <t>Monthly churn</t>
  </si>
  <si>
    <t>Monthly payout</t>
  </si>
  <si>
    <t>Workload</t>
  </si>
  <si>
    <t>Support h / account</t>
  </si>
  <si>
    <t>Gross payout</t>
  </si>
  <si>
    <t>Replacements / mo</t>
  </si>
  <si>
    <t>Total hours / mo</t>
  </si>
  <si>
    <t>Cash expenses / mo</t>
  </si>
  <si>
    <t>After expenses</t>
  </si>
  <si>
    <t>Return / hour</t>
  </si>
  <si>
    <t>Last row uses Inputs.SupportHours; earlier rows are the report’s sensitivity cases.</t>
  </si>
  <si>
    <t>Thresholds</t>
  </si>
  <si>
    <t>Threshold</t>
  </si>
  <si>
    <t>Clients before</t>
  </si>
  <si>
    <t>Clients after</t>
  </si>
  <si>
    <t>Before revenue</t>
  </si>
  <si>
    <t>After revenue</t>
  </si>
  <si>
    <t>Before payout</t>
  </si>
  <si>
    <t>After payout</t>
  </si>
  <si>
    <t>Payout loss</t>
  </si>
  <si>
    <t>Percent loss</t>
  </si>
  <si>
    <t>Month after step-back</t>
  </si>
  <si>
    <t>1% monthly churn</t>
  </si>
  <si>
    <t>3% monthly churn</t>
  </si>
  <si>
    <t>5% monthly churn</t>
  </si>
  <si>
    <t>Input churn scenario</t>
  </si>
  <si>
    <t>Employee</t>
  </si>
  <si>
    <t>Hourly wage</t>
  </si>
  <si>
    <t>Paid hours / week</t>
  </si>
  <si>
    <t>Paid weeks / year</t>
  </si>
  <si>
    <t>Commission / sale</t>
  </si>
  <si>
    <t>Sales / month</t>
  </si>
  <si>
    <t>Annual base</t>
  </si>
  <si>
    <t>Annual commission</t>
  </si>
  <si>
    <t>Annual cash pay</t>
  </si>
  <si>
    <t>Cash compensation per acquired customer</t>
  </si>
  <si>
    <t>Payback in surviving paid customer-months</t>
  </si>
  <si>
    <t>Sources</t>
  </si>
  <si>
    <t>ID</t>
  </si>
  <si>
    <t>Source</t>
  </si>
  <si>
    <t>Date</t>
  </si>
  <si>
    <t>Link or record</t>
  </si>
  <si>
    <t>Use / limitation</t>
  </si>
  <si>
    <t>1</t>
  </si>
  <si>
    <t>Spindle Operators design deck</t>
  </si>
  <si>
    <t>2026-07-10</t>
  </si>
  <si>
    <t>Local: portfolio26/public/demos/spindle-operators-deck.html</t>
  </si>
  <si>
    <t>Roles, rates, thresholds, timing, residual, rights; internal draft</t>
  </si>
  <si>
    <t>2</t>
  </si>
  <si>
    <t>Spindle portfolio story</t>
  </si>
  <si>
    <t>Accessed 2026-09-10</t>
  </si>
  <si>
    <t>Local: portfolio26/src/components/work/SpindleStory.astro</t>
  </si>
  <si>
    <t>Development status and proposed product economics</t>
  </si>
  <si>
    <t>3</t>
  </si>
  <si>
    <t>Spindle Pricing</t>
  </si>
  <si>
    <t>https://spindle-www.vercel.app/pricing</t>
  </si>
  <si>
    <t>Draft plan bases and usage; not validated eligible revenue</t>
  </si>
  <si>
    <t>4</t>
  </si>
  <si>
    <t>Spindle Inbound</t>
  </si>
  <si>
    <t>https://spindle-www.vercel.app/inbound</t>
  </si>
  <si>
    <t>Product scope and beta readiness</t>
  </si>
  <si>
    <t>5</t>
  </si>
  <si>
    <t>Quo AI appointment setter</t>
  </si>
  <si>
    <t>https://www.quo.com/product/ai/appointment-setter</t>
  </si>
  <si>
    <t>Competing product capabilities</t>
  </si>
  <si>
    <t>6</t>
  </si>
  <si>
    <t>Smith.ai Partner programs</t>
  </si>
  <si>
    <t>https://smith.ai/partners</t>
  </si>
  <si>
    <t>Programs and selected examples; not expected Spindle results</t>
  </si>
  <si>
    <t>7</t>
  </si>
  <si>
    <t>BLS services sales occupation</t>
  </si>
  <si>
    <t>May 2025 wages; accessed 2026-09-10</t>
  </si>
  <si>
    <t>https://www.bls.gov/ooh/about/data-for-occupations-not-covered-in-detail.htm</t>
  </si>
  <si>
    <t>National median $69,990; broad occupational context</t>
  </si>
  <si>
    <t>8</t>
  </si>
  <si>
    <t>Archy SDR vacancy</t>
  </si>
  <si>
    <t>https://jobs.ashbyhq.com/archy/1f3fa29a-c12d-4aa6-abdf-2aa98528f51f</t>
  </si>
  <si>
    <t>Advertised base $50–60k and OTE $70–80k; no attainment evidence</t>
  </si>
  <si>
    <t>9</t>
  </si>
  <si>
    <t>California minimum wage FAQ</t>
  </si>
  <si>
    <t>2026</t>
  </si>
  <si>
    <t>https://dir.ca.gov/dlse/faq_minimumwage.htm</t>
  </si>
  <si>
    <t>Statewide floor, not a recommended wage</t>
  </si>
  <si>
    <t>10</t>
  </si>
  <si>
    <t>California Labor Code 2751</t>
  </si>
  <si>
    <t>Current displayed statute</t>
  </si>
  <si>
    <t>https://leginfo.legislature.ca.gov/faces/codes_displaySection.xhtml?lawCode=LAB&amp;sectionNum=2751.</t>
  </si>
  <si>
    <t>Written commission agreements</t>
  </si>
  <si>
    <t>11</t>
  </si>
  <si>
    <t>HighLevel affiliate agreement</t>
  </si>
  <si>
    <t>June 2026</t>
  </si>
  <si>
    <t>https://www.gohighlevel.com/affiliate-policy</t>
  </si>
  <si>
    <t>40% direct referrals subject to conditions</t>
  </si>
  <si>
    <t>12</t>
  </si>
  <si>
    <t>HighLevel pricing</t>
  </si>
  <si>
    <t>https://www.gohighlevel.com/pricing</t>
  </si>
  <si>
    <t>SaaS Mode monthly fee and separate usage costs</t>
  </si>
  <si>
    <t>13</t>
  </si>
  <si>
    <t>Twilio referral addendum</t>
  </si>
  <si>
    <t>May 4, 2026</t>
  </si>
  <si>
    <t>https://www.twilio.com/en-us/legal/twilio-partner-referral-addendum</t>
  </si>
  <si>
    <t>10%/15% fees; larger minimum contracts</t>
  </si>
  <si>
    <t>14</t>
  </si>
  <si>
    <t>California independent contractor FAQ</t>
  </si>
  <si>
    <t>https://www.dir.ca.gov/dlse/faq_independentcontractor.htm</t>
  </si>
  <si>
    <t>Classification is fact dependent</t>
  </si>
  <si>
    <t>A</t>
  </si>
  <si>
    <t>Scenario assumptions</t>
  </si>
  <si>
    <t>2026-09-10</t>
  </si>
  <si>
    <t>This analysis</t>
  </si>
  <si>
    <t>Churn, acquisition, expenses, workload, employee pay and target are illustrative, not observed data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</si>
</sst>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755A3"/>
      <name val="Calibri"/>
      <family val="2"/>
      <scheme val="minor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spindle-www.vercel.app/pricing" TargetMode="External"/><Relationship Id="rId2" Type="http://schemas.openxmlformats.org/officeDocument/2006/relationships/hyperlink" Target="https://spindle-www.vercel.app/inbound" TargetMode="External"/><Relationship Id="rId3" Type="http://schemas.openxmlformats.org/officeDocument/2006/relationships/hyperlink" Target="https://www.quo.com/product/ai/appointment-setter" TargetMode="External"/><Relationship Id="rId4" Type="http://schemas.openxmlformats.org/officeDocument/2006/relationships/hyperlink" Target="https://smith.ai/partners" TargetMode="External"/><Relationship Id="rId5" Type="http://schemas.openxmlformats.org/officeDocument/2006/relationships/hyperlink" Target="https://www.bls.gov/ooh/about/data-for-occupations-not-covered-in-detail.htm" TargetMode="External"/><Relationship Id="rId6" Type="http://schemas.openxmlformats.org/officeDocument/2006/relationships/hyperlink" Target="https://jobs.ashbyhq.com/archy/1f3fa29a-c12d-4aa6-abdf-2aa98528f51f" TargetMode="External"/><Relationship Id="rId7" Type="http://schemas.openxmlformats.org/officeDocument/2006/relationships/hyperlink" Target="https://dir.ca.gov/dlse/faq_minimumwage.htm" TargetMode="External"/><Relationship Id="rId8" Type="http://schemas.openxmlformats.org/officeDocument/2006/relationships/hyperlink" Target="https://leginfo.legislature.ca.gov/faces/codes_displaySection.xhtml?lawCode=LAB&amp;sectionNum=2751." TargetMode="External"/><Relationship Id="rId9" Type="http://schemas.openxmlformats.org/officeDocument/2006/relationships/hyperlink" Target="https://www.gohighlevel.com/affiliate-policy" TargetMode="External"/><Relationship Id="rId10" Type="http://schemas.openxmlformats.org/officeDocument/2006/relationships/hyperlink" Target="https://www.gohighlevel.com/pricing" TargetMode="External"/><Relationship Id="rId11" Type="http://schemas.openxmlformats.org/officeDocument/2006/relationships/hyperlink" Target="https://www.twilio.com/en-us/legal/twilio-partner-referral-addendum" TargetMode="External"/><Relationship Id="rId12" Type="http://schemas.openxmlformats.org/officeDocument/2006/relationships/hyperlink" Target="https://www.dir.ca.gov/dlse/faq_independentcontractor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25.7109375" customWidth="1"/>
    <col min="2" max="2" width="115.7109375" customWidth="1"/>
  </cols>
  <sheetData>
    <row r="1" spans="1:2">
      <c r="A1" s="1" t="s">
        <v>0</v>
      </c>
      <c r="B1" s="1"/>
    </row>
    <row r="2" spans="1:2" ht="44" customHeight="1">
      <c r="A2" s="2" t="s">
        <v>1</v>
      </c>
      <c r="B2" s="2"/>
    </row>
    <row r="4" spans="1:2" ht="32" customHeight="1">
      <c r="A4" s="3" t="s">
        <v>2</v>
      </c>
      <c r="B4" s="3" t="s">
        <v>3</v>
      </c>
    </row>
    <row r="5" spans="1:2" ht="35" customHeight="1">
      <c r="A5" s="2" t="s">
        <v>4</v>
      </c>
      <c r="B5" s="2" t="s">
        <v>5</v>
      </c>
    </row>
    <row r="6" spans="1:2" ht="35" customHeight="1">
      <c r="A6" s="2" t="s">
        <v>6</v>
      </c>
      <c r="B6" s="2" t="s">
        <v>7</v>
      </c>
    </row>
    <row r="7" spans="1:2" ht="45" customHeight="1">
      <c r="A7" s="2" t="s">
        <v>8</v>
      </c>
      <c r="B7" s="2" t="s">
        <v>9</v>
      </c>
    </row>
    <row r="8" spans="1:2" ht="45" customHeight="1">
      <c r="A8" s="2" t="s">
        <v>10</v>
      </c>
      <c r="B8" s="2" t="s">
        <v>11</v>
      </c>
    </row>
    <row r="9" spans="1:2" ht="45" customHeight="1">
      <c r="A9" s="2" t="s">
        <v>12</v>
      </c>
      <c r="B9" s="2" t="s">
        <v>13</v>
      </c>
    </row>
    <row r="10" spans="1:2" ht="45" customHeight="1">
      <c r="A10" s="2" t="s">
        <v>14</v>
      </c>
      <c r="B10" s="2" t="s">
        <v>15</v>
      </c>
    </row>
    <row r="11" spans="1:2" ht="35" customHeight="1">
      <c r="A11" s="2" t="s">
        <v>16</v>
      </c>
      <c r="B11" s="2" t="s">
        <v>17</v>
      </c>
    </row>
    <row r="12" spans="1:2" ht="35" customHeight="1">
      <c r="A12" s="2" t="s">
        <v>18</v>
      </c>
      <c r="B12" s="2" t="s">
        <v>19</v>
      </c>
    </row>
    <row r="13" spans="1:2" ht="35" customHeight="1">
      <c r="A13" s="2" t="s">
        <v>20</v>
      </c>
      <c r="B13" s="2" t="s">
        <v>21</v>
      </c>
    </row>
    <row r="14" spans="1:2" ht="35" customHeight="1">
      <c r="A14" s="2" t="s">
        <v>22</v>
      </c>
      <c r="B14" s="2" t="s">
        <v>23</v>
      </c>
    </row>
    <row r="15" spans="1:2" ht="35" customHeight="1">
      <c r="A15" s="2" t="s">
        <v>24</v>
      </c>
      <c r="B15" s="2" t="s">
        <v>25</v>
      </c>
    </row>
  </sheetData>
  <mergeCells count="2">
    <mergeCell ref="A1:B1"/>
    <mergeCell ref="A2:B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5.7109375" customWidth="1"/>
    <col min="2" max="2" width="18.7109375" customWidth="1"/>
    <col min="3" max="3" width="78.7109375" customWidth="1"/>
    <col min="4" max="4" width="35.7109375" customWidth="1"/>
  </cols>
  <sheetData>
    <row r="1" spans="1:4">
      <c r="A1" s="1" t="s">
        <v>26</v>
      </c>
      <c r="B1" s="1"/>
      <c r="C1" s="1"/>
      <c r="D1" s="1"/>
    </row>
    <row r="2" spans="1:4" ht="44" customHeight="1">
      <c r="A2" s="2" t="s">
        <v>1</v>
      </c>
      <c r="B2" s="2"/>
      <c r="C2" s="2"/>
      <c r="D2" s="2"/>
    </row>
    <row r="4" spans="1:4" ht="32" customHeight="1">
      <c r="A4" s="3" t="s">
        <v>27</v>
      </c>
      <c r="B4" s="3" t="s">
        <v>28</v>
      </c>
      <c r="C4" s="3" t="s">
        <v>29</v>
      </c>
      <c r="D4" s="3" t="s">
        <v>30</v>
      </c>
    </row>
    <row r="5" spans="1:4" ht="32" customHeight="1">
      <c r="A5" t="s">
        <v>31</v>
      </c>
      <c r="B5" s="4">
        <v>150</v>
      </c>
      <c r="C5" s="2" t="s">
        <v>32</v>
      </c>
      <c r="D5" s="2" t="s">
        <v>33</v>
      </c>
    </row>
    <row r="6" spans="1:4" ht="32" customHeight="1">
      <c r="A6" t="s">
        <v>34</v>
      </c>
      <c r="B6" s="5">
        <v>0.35</v>
      </c>
      <c r="C6" s="2" t="s">
        <v>35</v>
      </c>
      <c r="D6" s="2" t="s">
        <v>36</v>
      </c>
    </row>
    <row r="7" spans="1:4" ht="32" customHeight="1">
      <c r="A7" t="s">
        <v>37</v>
      </c>
      <c r="B7" s="5">
        <v>0.4</v>
      </c>
      <c r="C7" s="2" t="s">
        <v>38</v>
      </c>
      <c r="D7" s="2" t="s">
        <v>36</v>
      </c>
    </row>
    <row r="8" spans="1:4" ht="32" customHeight="1">
      <c r="A8" t="s">
        <v>39</v>
      </c>
      <c r="B8" s="5">
        <v>0.475</v>
      </c>
      <c r="C8" s="2" t="s">
        <v>40</v>
      </c>
      <c r="D8" s="2" t="s">
        <v>36</v>
      </c>
    </row>
    <row r="9" spans="1:4" ht="32" customHeight="1">
      <c r="A9" t="s">
        <v>41</v>
      </c>
      <c r="B9" s="4">
        <v>2200</v>
      </c>
      <c r="C9" s="2" t="s">
        <v>42</v>
      </c>
      <c r="D9" s="2" t="s">
        <v>33</v>
      </c>
    </row>
    <row r="10" spans="1:4" ht="32" customHeight="1">
      <c r="A10" t="s">
        <v>43</v>
      </c>
      <c r="B10" s="4">
        <v>5000</v>
      </c>
      <c r="C10" s="2" t="s">
        <v>42</v>
      </c>
      <c r="D10" s="2" t="s">
        <v>33</v>
      </c>
    </row>
    <row r="11" spans="1:4" ht="32" customHeight="1">
      <c r="A11" t="s">
        <v>44</v>
      </c>
      <c r="B11" s="5">
        <v>0</v>
      </c>
      <c r="C11" s="2" t="s">
        <v>45</v>
      </c>
      <c r="D11" s="2" t="s">
        <v>33</v>
      </c>
    </row>
    <row r="12" spans="1:4" ht="32" customHeight="1">
      <c r="A12" t="s">
        <v>46</v>
      </c>
      <c r="B12" s="4">
        <v>5000</v>
      </c>
      <c r="C12" s="2" t="s">
        <v>47</v>
      </c>
      <c r="D12" s="2" t="s">
        <v>48</v>
      </c>
    </row>
    <row r="13" spans="1:4" ht="32" customHeight="1">
      <c r="A13" t="s">
        <v>49</v>
      </c>
      <c r="B13" s="6">
        <v>5</v>
      </c>
      <c r="C13" s="2" t="s">
        <v>50</v>
      </c>
      <c r="D13" s="2" t="s">
        <v>48</v>
      </c>
    </row>
    <row r="14" spans="1:4" ht="32" customHeight="1">
      <c r="A14" t="s">
        <v>51</v>
      </c>
      <c r="B14" s="5">
        <v>0.03</v>
      </c>
      <c r="C14" s="2" t="s">
        <v>52</v>
      </c>
      <c r="D14" s="2" t="s">
        <v>53</v>
      </c>
    </row>
    <row r="15" spans="1:4" ht="32" customHeight="1">
      <c r="A15" t="s">
        <v>54</v>
      </c>
      <c r="B15" s="6">
        <v>1</v>
      </c>
      <c r="C15" s="2" t="s">
        <v>55</v>
      </c>
      <c r="D15" s="2" t="s">
        <v>48</v>
      </c>
    </row>
    <row r="16" spans="1:4" ht="32" customHeight="1">
      <c r="A16" t="s">
        <v>56</v>
      </c>
      <c r="B16" s="6">
        <v>8</v>
      </c>
      <c r="C16" s="2" t="s">
        <v>57</v>
      </c>
      <c r="D16" s="2" t="s">
        <v>48</v>
      </c>
    </row>
    <row r="17" spans="1:4" ht="32" customHeight="1">
      <c r="A17" t="s">
        <v>58</v>
      </c>
      <c r="B17" s="4">
        <v>100</v>
      </c>
      <c r="C17" s="2" t="s">
        <v>59</v>
      </c>
      <c r="D17" s="2" t="s">
        <v>48</v>
      </c>
    </row>
    <row r="18" spans="1:4" ht="32" customHeight="1">
      <c r="A18" t="s">
        <v>60</v>
      </c>
      <c r="B18" s="6">
        <v>10</v>
      </c>
      <c r="C18" s="2" t="s">
        <v>61</v>
      </c>
      <c r="D18" s="2" t="s">
        <v>48</v>
      </c>
    </row>
    <row r="19" spans="1:4" ht="32" customHeight="1">
      <c r="A19" t="s">
        <v>62</v>
      </c>
      <c r="B19" s="4">
        <v>200</v>
      </c>
      <c r="C19" s="2" t="s">
        <v>63</v>
      </c>
      <c r="D19" s="2" t="s">
        <v>48</v>
      </c>
    </row>
    <row r="20" spans="1:4" ht="32" customHeight="1">
      <c r="A20" t="s">
        <v>64</v>
      </c>
      <c r="B20" s="6">
        <v>50</v>
      </c>
      <c r="C20" s="2" t="s">
        <v>65</v>
      </c>
      <c r="D20" s="2" t="s">
        <v>48</v>
      </c>
    </row>
    <row r="21" spans="1:4" ht="32" customHeight="1">
      <c r="A21" t="s">
        <v>66</v>
      </c>
      <c r="B21" s="5">
        <v>0.2</v>
      </c>
      <c r="C21" s="2" t="s">
        <v>67</v>
      </c>
      <c r="D21" s="2" t="s">
        <v>68</v>
      </c>
    </row>
    <row r="22" spans="1:4" ht="32" customHeight="1">
      <c r="A22" t="s">
        <v>69</v>
      </c>
      <c r="B22" s="4">
        <v>30</v>
      </c>
      <c r="C22" s="2" t="s">
        <v>70</v>
      </c>
      <c r="D22" s="2" t="s">
        <v>48</v>
      </c>
    </row>
    <row r="23" spans="1:4" ht="32" customHeight="1">
      <c r="A23" t="s">
        <v>71</v>
      </c>
      <c r="B23" s="6">
        <v>40</v>
      </c>
      <c r="C23" s="2" t="s">
        <v>72</v>
      </c>
      <c r="D23" s="2" t="s">
        <v>48</v>
      </c>
    </row>
    <row r="24" spans="1:4" ht="32" customHeight="1">
      <c r="A24" t="s">
        <v>73</v>
      </c>
      <c r="B24" s="6">
        <v>52</v>
      </c>
      <c r="C24" s="2" t="s">
        <v>74</v>
      </c>
      <c r="D24" s="2" t="s">
        <v>48</v>
      </c>
    </row>
    <row r="25" spans="1:4" ht="32" customHeight="1">
      <c r="A25" t="s">
        <v>75</v>
      </c>
      <c r="B25" s="4">
        <v>200</v>
      </c>
      <c r="C25" s="2" t="s">
        <v>76</v>
      </c>
      <c r="D25" s="2" t="s">
        <v>48</v>
      </c>
    </row>
    <row r="26" spans="1:4" ht="32" customHeight="1">
      <c r="A26" t="s">
        <v>77</v>
      </c>
      <c r="B26" s="6">
        <v>10</v>
      </c>
      <c r="C26" s="2" t="s">
        <v>78</v>
      </c>
      <c r="D26" s="2" t="s">
        <v>48</v>
      </c>
    </row>
    <row r="27" spans="1:4" ht="32" customHeight="1">
      <c r="A27" t="s">
        <v>79</v>
      </c>
      <c r="B27" s="4">
        <v>100</v>
      </c>
      <c r="C27" s="2" t="s">
        <v>80</v>
      </c>
      <c r="D27" s="2" t="s">
        <v>81</v>
      </c>
    </row>
  </sheetData>
  <mergeCells count="2">
    <mergeCell ref="A1:D1"/>
    <mergeCell ref="A2:D2"/>
  </mergeCells>
  <dataValidations count="23">
    <dataValidation type="decimal" allowBlank="1" showInputMessage="1" showErrorMessage="1" sqref="B5">
      <formula1>0</formula1>
      <formula2>1000000</formula2>
    </dataValidation>
    <dataValidation type="decimal" allowBlank="1" showInputMessage="1" showErrorMessage="1" sqref="B6">
      <formula1>0</formula1>
      <formula2>1</formula2>
    </dataValidation>
    <dataValidation type="decimal" allowBlank="1" showInputMessage="1" showErrorMessage="1" sqref="B7">
      <formula1>0</formula1>
      <formula2>1</formula2>
    </dataValidation>
    <dataValidation type="decimal" allowBlank="1" showInputMessage="1" showErrorMessage="1" sqref="B8">
      <formula1>0</formula1>
      <formula2>1</formula2>
    </dataValidation>
    <dataValidation type="decimal" allowBlank="1" showInputMessage="1" showErrorMessage="1" sqref="B9">
      <formula1>0</formula1>
      <formula2>1000000</formula2>
    </dataValidation>
    <dataValidation type="decimal" allowBlank="1" showInputMessage="1" showErrorMessage="1" sqref="B10">
      <formula1>0</formula1>
      <formula2>1000000</formula2>
    </dataValidation>
    <dataValidation type="decimal" allowBlank="1" showInputMessage="1" showErrorMessage="1" sqref="B11">
      <formula1>0</formula1>
      <formula2>1</formula2>
    </dataValidation>
    <dataValidation type="decimal" allowBlank="1" showInputMessage="1" showErrorMessage="1" sqref="B12">
      <formula1>0</formula1>
      <formula2>1000000</formula2>
    </dataValidation>
    <dataValidation type="decimal" allowBlank="1" showInputMessage="1" showErrorMessage="1" sqref="B13">
      <formula1>0</formula1>
      <formula2>1000000</formula2>
    </dataValidation>
    <dataValidation type="decimal" allowBlank="1" showInputMessage="1" showErrorMessage="1" sqref="B14">
      <formula1>0</formula1>
      <formula2>1</formula2>
    </dataValidation>
    <dataValidation type="decimal" allowBlank="1" showInputMessage="1" showErrorMessage="1" sqref="B15">
      <formula1>0</formula1>
      <formula2>1000000</formula2>
    </dataValidation>
    <dataValidation type="decimal" allowBlank="1" showInputMessage="1" showErrorMessage="1" sqref="B16">
      <formula1>0</formula1>
      <formula2>1000000</formula2>
    </dataValidation>
    <dataValidation type="decimal" allowBlank="1" showInputMessage="1" showErrorMessage="1" sqref="B17">
      <formula1>0</formula1>
      <formula2>1000000</formula2>
    </dataValidation>
    <dataValidation type="decimal" allowBlank="1" showInputMessage="1" showErrorMessage="1" sqref="B18">
      <formula1>0</formula1>
      <formula2>1000000</formula2>
    </dataValidation>
    <dataValidation type="decimal" allowBlank="1" showInputMessage="1" showErrorMessage="1" sqref="B19">
      <formula1>0</formula1>
      <formula2>1000000</formula2>
    </dataValidation>
    <dataValidation type="decimal" allowBlank="1" showInputMessage="1" showErrorMessage="1" sqref="B20">
      <formula1>0</formula1>
      <formula2>1000000</formula2>
    </dataValidation>
    <dataValidation type="decimal" allowBlank="1" showInputMessage="1" showErrorMessage="1" sqref="B21">
      <formula1>0</formula1>
      <formula2>1</formula2>
    </dataValidation>
    <dataValidation type="decimal" allowBlank="1" showInputMessage="1" showErrorMessage="1" sqref="B22">
      <formula1>0</formula1>
      <formula2>1000000</formula2>
    </dataValidation>
    <dataValidation type="decimal" allowBlank="1" showInputMessage="1" showErrorMessage="1" sqref="B23">
      <formula1>0</formula1>
      <formula2>1000000</formula2>
    </dataValidation>
    <dataValidation type="decimal" allowBlank="1" showInputMessage="1" showErrorMessage="1" sqref="B24">
      <formula1>0</formula1>
      <formula2>1000000</formula2>
    </dataValidation>
    <dataValidation type="decimal" allowBlank="1" showInputMessage="1" showErrorMessage="1" sqref="B25">
      <formula1>0</formula1>
      <formula2>1000000</formula2>
    </dataValidation>
    <dataValidation type="decimal" allowBlank="1" showInputMessage="1" showErrorMessage="1" sqref="B26">
      <formula1>0</formula1>
      <formula2>1000000</formula2>
    </dataValidation>
    <dataValidation type="decimal" allowBlank="1" showInputMessage="1" showErrorMessage="1" sqref="B27">
      <formula1>0</formula1>
      <formula2>1000000</formula2>
    </dataValidation>
  </dataValidations>
  <pageMargins left="0.7" right="0.7" top="0.75" bottom="0.75" header="0.3" footer="0.3"/>
  <pageSetup paperSize="9" fitToHeight="0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5" width="18.7109375" customWidth="1"/>
  </cols>
  <sheetData>
    <row r="1" spans="1:5">
      <c r="A1" s="1" t="s">
        <v>82</v>
      </c>
      <c r="B1" s="1"/>
      <c r="C1" s="1"/>
      <c r="D1" s="1"/>
      <c r="E1" s="1"/>
    </row>
    <row r="2" spans="1:5" ht="44" customHeight="1">
      <c r="A2" s="2" t="s">
        <v>1</v>
      </c>
      <c r="B2" s="2"/>
      <c r="C2" s="2"/>
      <c r="D2" s="2"/>
      <c r="E2" s="2"/>
    </row>
    <row r="4" spans="1:5" ht="32" customHeight="1">
      <c r="A4" s="3" t="s">
        <v>83</v>
      </c>
      <c r="B4" s="3" t="s">
        <v>84</v>
      </c>
      <c r="C4" s="3" t="s">
        <v>85</v>
      </c>
      <c r="D4" s="3" t="s">
        <v>86</v>
      </c>
      <c r="E4" s="3" t="s">
        <v>87</v>
      </c>
    </row>
    <row r="5" spans="1:5">
      <c r="A5" s="6">
        <v>5</v>
      </c>
      <c r="B5" s="7">
        <f>A5*ClientRevenue</f>
        <v>750</v>
      </c>
      <c r="C5" s="8">
        <f>IF(B5&gt;=TopThreshold,TopRate,IF(B5&gt;=MidThreshold,MidRate,EntryRate))+FoundingBonus</f>
        <v>0.35</v>
      </c>
      <c r="D5" s="7">
        <f>B5*C5</f>
        <v>262.5</v>
      </c>
      <c r="E5" s="7">
        <f>D5*12</f>
        <v>3150.0</v>
      </c>
    </row>
    <row r="6" spans="1:5">
      <c r="A6" s="6">
        <v>15</v>
      </c>
      <c r="B6" s="7">
        <f>A6*ClientRevenue</f>
        <v>2250</v>
      </c>
      <c r="C6" s="8">
        <f>IF(B6&gt;=TopThreshold,TopRate,IF(B6&gt;=MidThreshold,MidRate,EntryRate))+FoundingBonus</f>
        <v>0.4</v>
      </c>
      <c r="D6" s="7">
        <f>B6*C6</f>
        <v>900.0</v>
      </c>
      <c r="E6" s="7">
        <f>D6*12</f>
        <v>10800.0</v>
      </c>
    </row>
    <row r="7" spans="1:5">
      <c r="A7" s="6">
        <v>34</v>
      </c>
      <c r="B7" s="7">
        <f>A7*ClientRevenue</f>
        <v>5100</v>
      </c>
      <c r="C7" s="8">
        <f>IF(B7&gt;=TopThreshold,TopRate,IF(B7&gt;=MidThreshold,MidRate,EntryRate))+FoundingBonus</f>
        <v>0.475</v>
      </c>
      <c r="D7" s="7">
        <f>B7*C7</f>
        <v>2422.5</v>
      </c>
      <c r="E7" s="7">
        <f>D7*12</f>
        <v>29070.0</v>
      </c>
    </row>
    <row r="8" spans="1:5">
      <c r="A8" s="6">
        <v>50</v>
      </c>
      <c r="B8" s="7">
        <f>A8*ClientRevenue</f>
        <v>7500</v>
      </c>
      <c r="C8" s="8">
        <f>IF(B8&gt;=TopThreshold,TopRate,IF(B8&gt;=MidThreshold,MidRate,EntryRate))+FoundingBonus</f>
        <v>0.475</v>
      </c>
      <c r="D8" s="7">
        <f>B8*C8</f>
        <v>3562.5</v>
      </c>
      <c r="E8" s="7">
        <f>D8*12</f>
        <v>42750.0</v>
      </c>
    </row>
    <row r="9" spans="1:5">
      <c r="A9" s="6">
        <v>70</v>
      </c>
      <c r="B9" s="7">
        <f>A9*ClientRevenue</f>
        <v>10500</v>
      </c>
      <c r="C9" s="8">
        <f>IF(B9&gt;=TopThreshold,TopRate,IF(B9&gt;=MidThreshold,MidRate,EntryRate))+FoundingBonus</f>
        <v>0.475</v>
      </c>
      <c r="D9" s="7">
        <f>B9*C9</f>
        <v>4987.5</v>
      </c>
      <c r="E9" s="7">
        <f>D9*12</f>
        <v>59850.0</v>
      </c>
    </row>
    <row r="10" spans="1:5">
      <c r="A10" s="6">
        <v>71</v>
      </c>
      <c r="B10" s="7">
        <f>A10*ClientRevenue</f>
        <v>10650</v>
      </c>
      <c r="C10" s="8">
        <f>IF(B10&gt;=TopThreshold,TopRate,IF(B10&gt;=MidThreshold,MidRate,EntryRate))+FoundingBonus</f>
        <v>0.475</v>
      </c>
      <c r="D10" s="7">
        <f>B10*C10</f>
        <v>5058.75</v>
      </c>
      <c r="E10" s="7">
        <f>D10*12</f>
        <v>60705.0</v>
      </c>
    </row>
    <row r="11" spans="1:5">
      <c r="A11" s="6">
        <v>100</v>
      </c>
      <c r="B11" s="7">
        <f>A11*ClientRevenue</f>
        <v>15000</v>
      </c>
      <c r="C11" s="8">
        <f>IF(B11&gt;=TopThreshold,TopRate,IF(B11&gt;=MidThreshold,MidRate,EntryRate))+FoundingBonus</f>
        <v>0.475</v>
      </c>
      <c r="D11" s="7">
        <f>B11*C11</f>
        <v>7125.0</v>
      </c>
      <c r="E11" s="7">
        <f>D11*12</f>
        <v>85500.0</v>
      </c>
    </row>
  </sheetData>
  <mergeCells count="2">
    <mergeCell ref="A1:E1"/>
    <mergeCell ref="A2:E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6" width="18.7109375" customWidth="1"/>
  </cols>
  <sheetData>
    <row r="1" spans="1:6">
      <c r="A1" s="1" t="s">
        <v>88</v>
      </c>
      <c r="B1" s="1"/>
      <c r="C1" s="1"/>
      <c r="D1" s="1"/>
      <c r="E1" s="1"/>
      <c r="F1" s="1"/>
    </row>
    <row r="2" spans="1:6" ht="44" customHeight="1">
      <c r="A2" s="2" t="s">
        <v>1</v>
      </c>
      <c r="B2" s="2"/>
      <c r="C2" s="2"/>
      <c r="D2" s="2"/>
      <c r="E2" s="2"/>
      <c r="F2" s="2"/>
    </row>
    <row r="4" spans="1:6" ht="32" customHeight="1">
      <c r="A4" s="3" t="s">
        <v>89</v>
      </c>
      <c r="B4" s="3" t="s">
        <v>90</v>
      </c>
      <c r="C4" s="3" t="s">
        <v>91</v>
      </c>
      <c r="D4" s="3" t="s">
        <v>92</v>
      </c>
      <c r="E4" s="3" t="s">
        <v>85</v>
      </c>
      <c r="F4" s="3" t="s">
        <v>93</v>
      </c>
    </row>
    <row r="5" spans="1:6">
      <c r="A5" s="4">
        <v>79</v>
      </c>
      <c r="B5" s="7">
        <f>TargetGross</f>
        <v>5000</v>
      </c>
      <c r="C5" s="9">
        <f>IF(ROUNDUP(B5/(A5*(EntryRate+FoundingBonus)),0)*A5&lt;MidThreshold,ROUNDUP(B5/(A5*(EntryRate+FoundingBonus)),0),IF(MAX(ROUNDUP(MidThreshold/A5,0),ROUNDUP(B5/(A5*(MidRate+FoundingBonus)),0))*A5&lt;TopThreshold,MAX(ROUNDUP(MidThreshold/A5,0),ROUNDUP(B5/(A5*(MidRate+FoundingBonus)),0)),MAX(ROUNDUP(TopThreshold/A5,0),ROUNDUP(B5/(A5*(TopRate+FoundingBonus)),0))))</f>
        <v>134</v>
      </c>
      <c r="D5" s="7">
        <f>A5*C5</f>
        <v>10586</v>
      </c>
      <c r="E5" s="8">
        <f>IF(D5&gt;=TopThreshold,TopRate,IF(D5&gt;=MidThreshold,MidRate,EntryRate))+FoundingBonus</f>
        <v>0.475</v>
      </c>
      <c r="F5" s="7">
        <f>D5*E5</f>
        <v>5028.349999999999</v>
      </c>
    </row>
    <row r="6" spans="1:6">
      <c r="A6" s="4">
        <v>150</v>
      </c>
      <c r="B6" s="7">
        <f>TargetGross</f>
        <v>5000</v>
      </c>
      <c r="C6" s="9">
        <f>IF(ROUNDUP(B6/(A6*(EntryRate+FoundingBonus)),0)*A6&lt;MidThreshold,ROUNDUP(B6/(A6*(EntryRate+FoundingBonus)),0),IF(MAX(ROUNDUP(MidThreshold/A6,0),ROUNDUP(B6/(A6*(MidRate+FoundingBonus)),0))*A6&lt;TopThreshold,MAX(ROUNDUP(MidThreshold/A6,0),ROUNDUP(B6/(A6*(MidRate+FoundingBonus)),0)),MAX(ROUNDUP(TopThreshold/A6,0),ROUNDUP(B6/(A6*(TopRate+FoundingBonus)),0))))</f>
        <v>71</v>
      </c>
      <c r="D6" s="7">
        <f>A6*C6</f>
        <v>10650</v>
      </c>
      <c r="E6" s="8">
        <f>IF(D6&gt;=TopThreshold,TopRate,IF(D6&gt;=MidThreshold,MidRate,EntryRate))+FoundingBonus</f>
        <v>0.475</v>
      </c>
      <c r="F6" s="7">
        <f>D6*E6</f>
        <v>5058.75</v>
      </c>
    </row>
    <row r="7" spans="1:6">
      <c r="A7" s="4">
        <v>239</v>
      </c>
      <c r="B7" s="7">
        <f>TargetGross</f>
        <v>5000</v>
      </c>
      <c r="C7" s="9">
        <f>IF(ROUNDUP(B7/(A7*(EntryRate+FoundingBonus)),0)*A7&lt;MidThreshold,ROUNDUP(B7/(A7*(EntryRate+FoundingBonus)),0),IF(MAX(ROUNDUP(MidThreshold/A7,0),ROUNDUP(B7/(A7*(MidRate+FoundingBonus)),0))*A7&lt;TopThreshold,MAX(ROUNDUP(MidThreshold/A7,0),ROUNDUP(B7/(A7*(MidRate+FoundingBonus)),0)),MAX(ROUNDUP(TopThreshold/A7,0),ROUNDUP(B7/(A7*(TopRate+FoundingBonus)),0))))</f>
        <v>45</v>
      </c>
      <c r="D7" s="7">
        <f>A7*C7</f>
        <v>10755</v>
      </c>
      <c r="E7" s="8">
        <f>IF(D7&gt;=TopThreshold,TopRate,IF(D7&gt;=MidThreshold,MidRate,EntryRate))+FoundingBonus</f>
        <v>0.475</v>
      </c>
      <c r="F7" s="7">
        <f>D7*E7</f>
        <v>5108.625</v>
      </c>
    </row>
    <row r="8" spans="1:6">
      <c r="A8" s="4">
        <v>300</v>
      </c>
      <c r="B8" s="7">
        <f>TargetGross</f>
        <v>5000</v>
      </c>
      <c r="C8" s="9">
        <f>IF(ROUNDUP(B8/(A8*(EntryRate+FoundingBonus)),0)*A8&lt;MidThreshold,ROUNDUP(B8/(A8*(EntryRate+FoundingBonus)),0),IF(MAX(ROUNDUP(MidThreshold/A8,0),ROUNDUP(B8/(A8*(MidRate+FoundingBonus)),0))*A8&lt;TopThreshold,MAX(ROUNDUP(MidThreshold/A8,0),ROUNDUP(B8/(A8*(MidRate+FoundingBonus)),0)),MAX(ROUNDUP(TopThreshold/A8,0),ROUNDUP(B8/(A8*(TopRate+FoundingBonus)),0))))</f>
        <v>36</v>
      </c>
      <c r="D8" s="7">
        <f>A8*C8</f>
        <v>10800</v>
      </c>
      <c r="E8" s="8">
        <f>IF(D8&gt;=TopThreshold,TopRate,IF(D8&gt;=MidThreshold,MidRate,EntryRate))+FoundingBonus</f>
        <v>0.475</v>
      </c>
      <c r="F8" s="7">
        <f>D8*E8</f>
        <v>5130.0</v>
      </c>
    </row>
  </sheetData>
  <mergeCells count="2">
    <mergeCell ref="A1:F1"/>
    <mergeCell ref="A2:F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9" width="18.7109375" customWidth="1"/>
  </cols>
  <sheetData>
    <row r="1" spans="1:9">
      <c r="A1" s="1" t="s">
        <v>94</v>
      </c>
      <c r="B1" s="1"/>
      <c r="C1" s="1"/>
      <c r="D1" s="1"/>
      <c r="E1" s="1"/>
      <c r="F1" s="1"/>
      <c r="G1" s="1"/>
      <c r="H1" s="1"/>
      <c r="I1" s="1"/>
    </row>
    <row r="2" spans="1:9" ht="44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32" customHeight="1">
      <c r="A4" s="3" t="s">
        <v>95</v>
      </c>
      <c r="B4" s="3" t="s">
        <v>96</v>
      </c>
      <c r="C4" s="3" t="s">
        <v>97</v>
      </c>
      <c r="D4" s="3" t="s">
        <v>98</v>
      </c>
      <c r="E4" s="3" t="s">
        <v>99</v>
      </c>
      <c r="F4" s="3" t="s">
        <v>100</v>
      </c>
      <c r="G4" s="3" t="s">
        <v>101</v>
      </c>
      <c r="H4" s="3" t="s">
        <v>102</v>
      </c>
      <c r="I4" s="3" t="s">
        <v>103</v>
      </c>
    </row>
    <row r="5" spans="1:9">
      <c r="A5">
        <v>1</v>
      </c>
      <c r="B5" s="10">
        <f>0</f>
        <v>0</v>
      </c>
      <c r="C5" s="10">
        <f>B5*MonthlyChurn</f>
        <v>0.0</v>
      </c>
      <c r="D5" s="10">
        <f>RampAcquisitions</f>
        <v>5</v>
      </c>
      <c r="E5" s="10">
        <f>B5-C5+D5</f>
        <v>5.0</v>
      </c>
      <c r="F5" s="7">
        <f>E5*ClientRevenue</f>
        <v>750.0</v>
      </c>
      <c r="G5" s="8">
        <f>EntryRate+FoundingBonus</f>
        <v>0.35</v>
      </c>
      <c r="H5" s="7">
        <f>F5*G5</f>
        <v>262.5</v>
      </c>
      <c r="I5" s="7">
        <f>H5</f>
        <v>262.5</v>
      </c>
    </row>
    <row r="6" spans="1:9">
      <c r="A6">
        <v>2</v>
      </c>
      <c r="B6" s="10">
        <f>E5</f>
        <v>5.0</v>
      </c>
      <c r="C6" s="10">
        <f>B6*MonthlyChurn</f>
        <v>0.15</v>
      </c>
      <c r="D6" s="10">
        <f>RampAcquisitions</f>
        <v>5</v>
      </c>
      <c r="E6" s="10">
        <f>B6-C6+D6</f>
        <v>9.85</v>
      </c>
      <c r="F6" s="7">
        <f>E6*ClientRevenue</f>
        <v>1477.5</v>
      </c>
      <c r="G6" s="8">
        <f>IF(MOD(A6-1,3)=0,IF(F5&gt;=TopThreshold,TopRate,IF(F5&gt;=MidThreshold,MidRate,EntryRate))+FoundingBonus,G5)</f>
        <v>0.35</v>
      </c>
      <c r="H6" s="7">
        <f>F6*G6</f>
        <v>517.125</v>
      </c>
      <c r="I6" s="7">
        <f>I5+H6</f>
        <v>779.625</v>
      </c>
    </row>
    <row r="7" spans="1:9">
      <c r="A7">
        <v>3</v>
      </c>
      <c r="B7" s="10">
        <f>E6</f>
        <v>9.85</v>
      </c>
      <c r="C7" s="10">
        <f>B7*MonthlyChurn</f>
        <v>0.2955</v>
      </c>
      <c r="D7" s="10">
        <f>RampAcquisitions</f>
        <v>5</v>
      </c>
      <c r="E7" s="10">
        <f>B7-C7+D7</f>
        <v>14.554499999999999</v>
      </c>
      <c r="F7" s="7">
        <f>E7*ClientRevenue</f>
        <v>2183.1749999999997</v>
      </c>
      <c r="G7" s="8">
        <f>IF(MOD(A7-1,3)=0,IF(F6&gt;=TopThreshold,TopRate,IF(F6&gt;=MidThreshold,MidRate,EntryRate))+FoundingBonus,G6)</f>
        <v>0.35</v>
      </c>
      <c r="H7" s="7">
        <f>F7*G7</f>
        <v>764.1112499999998</v>
      </c>
      <c r="I7" s="7">
        <f>I6+H7</f>
        <v>1543.73625</v>
      </c>
    </row>
    <row r="8" spans="1:9">
      <c r="A8">
        <v>4</v>
      </c>
      <c r="B8" s="10">
        <f>E7</f>
        <v>14.554499999999999</v>
      </c>
      <c r="C8" s="10">
        <f>B8*MonthlyChurn</f>
        <v>0.43663499999999994</v>
      </c>
      <c r="D8" s="10">
        <f>RampAcquisitions</f>
        <v>5</v>
      </c>
      <c r="E8" s="10">
        <f>B8-C8+D8</f>
        <v>19.117865</v>
      </c>
      <c r="F8" s="7">
        <f>E8*ClientRevenue</f>
        <v>2867.67975</v>
      </c>
      <c r="G8" s="8">
        <f>IF(MOD(A8-1,3)=0,IF(F7&gt;=TopThreshold,TopRate,IF(F7&gt;=MidThreshold,MidRate,EntryRate))+FoundingBonus,G7)</f>
        <v>0.35</v>
      </c>
      <c r="H8" s="7">
        <f>F8*G8</f>
        <v>1003.6879124999998</v>
      </c>
      <c r="I8" s="7">
        <f>I7+H8</f>
        <v>2547.4241624999995</v>
      </c>
    </row>
    <row r="9" spans="1:9">
      <c r="A9">
        <v>5</v>
      </c>
      <c r="B9" s="10">
        <f>E8</f>
        <v>19.117865</v>
      </c>
      <c r="C9" s="10">
        <f>B9*MonthlyChurn</f>
        <v>0.5735359499999999</v>
      </c>
      <c r="D9" s="10">
        <f>RampAcquisitions</f>
        <v>5</v>
      </c>
      <c r="E9" s="10">
        <f>B9-C9+D9</f>
        <v>23.544329049999998</v>
      </c>
      <c r="F9" s="7">
        <f>E9*ClientRevenue</f>
        <v>3531.6493575</v>
      </c>
      <c r="G9" s="8">
        <f>IF(MOD(A9-1,3)=0,IF(F8&gt;=TopThreshold,TopRate,IF(F8&gt;=MidThreshold,MidRate,EntryRate))+FoundingBonus,G8)</f>
        <v>0.35</v>
      </c>
      <c r="H9" s="7">
        <f>F9*G9</f>
        <v>1236.077275125</v>
      </c>
      <c r="I9" s="7">
        <f>I8+H9</f>
        <v>3783.501437624999</v>
      </c>
    </row>
    <row r="10" spans="1:9">
      <c r="A10">
        <v>6</v>
      </c>
      <c r="B10" s="10">
        <f>E9</f>
        <v>23.544329049999998</v>
      </c>
      <c r="C10" s="10">
        <f>B10*MonthlyChurn</f>
        <v>0.7063298714999999</v>
      </c>
      <c r="D10" s="10">
        <f>RampAcquisitions</f>
        <v>5</v>
      </c>
      <c r="E10" s="10">
        <f>B10-C10+D10</f>
        <v>27.8379991785</v>
      </c>
      <c r="F10" s="7">
        <f>E10*ClientRevenue</f>
        <v>4175.699876775</v>
      </c>
      <c r="G10" s="8">
        <f>IF(MOD(A10-1,3)=0,IF(F9&gt;=TopThreshold,TopRate,IF(F9&gt;=MidThreshold,MidRate,EntryRate))+FoundingBonus,G9)</f>
        <v>0.35</v>
      </c>
      <c r="H10" s="7">
        <f>F10*G10</f>
        <v>1461.49495687125</v>
      </c>
      <c r="I10" s="7">
        <f>I9+H10</f>
        <v>5244.996394496249</v>
      </c>
    </row>
    <row r="11" spans="1:9">
      <c r="A11">
        <v>7</v>
      </c>
      <c r="B11" s="10">
        <f>E10</f>
        <v>27.8379991785</v>
      </c>
      <c r="C11" s="10">
        <f>B11*MonthlyChurn</f>
        <v>0.835139975355</v>
      </c>
      <c r="D11" s="10">
        <f>RampAcquisitions</f>
        <v>5</v>
      </c>
      <c r="E11" s="10">
        <f>B11-C11+D11</f>
        <v>32.002859203145</v>
      </c>
      <c r="F11" s="7">
        <f>E11*ClientRevenue</f>
        <v>4800.42888047175</v>
      </c>
      <c r="G11" s="8">
        <f>IF(MOD(A11-1,3)=0,IF(F10&gt;=TopThreshold,TopRate,IF(F10&gt;=MidThreshold,MidRate,EntryRate))+FoundingBonus,G10)</f>
        <v>0.4</v>
      </c>
      <c r="H11" s="7">
        <f>F11*G11</f>
        <v>1920.1715521887</v>
      </c>
      <c r="I11" s="7">
        <f>I10+H11</f>
        <v>7165.167946684949</v>
      </c>
    </row>
    <row r="12" spans="1:9">
      <c r="A12">
        <v>8</v>
      </c>
      <c r="B12" s="10">
        <f>E11</f>
        <v>32.002859203145</v>
      </c>
      <c r="C12" s="10">
        <f>B12*MonthlyChurn</f>
        <v>0.96008577609435</v>
      </c>
      <c r="D12" s="10">
        <f>RampAcquisitions</f>
        <v>5</v>
      </c>
      <c r="E12" s="10">
        <f>B12-C12+D12</f>
        <v>36.04277342705065</v>
      </c>
      <c r="F12" s="7">
        <f>E12*ClientRevenue</f>
        <v>5406.416014057597</v>
      </c>
      <c r="G12" s="8">
        <f>IF(MOD(A12-1,3)=0,IF(F11&gt;=TopThreshold,TopRate,IF(F11&gt;=MidThreshold,MidRate,EntryRate))+FoundingBonus,G11)</f>
        <v>0.4</v>
      </c>
      <c r="H12" s="7">
        <f>F12*G12</f>
        <v>2162.566405623039</v>
      </c>
      <c r="I12" s="7">
        <f>I11+H12</f>
        <v>9327.734352307987</v>
      </c>
    </row>
    <row r="13" spans="1:9">
      <c r="A13">
        <v>9</v>
      </c>
      <c r="B13" s="10">
        <f>E12</f>
        <v>36.04277342705065</v>
      </c>
      <c r="C13" s="10">
        <f>B13*MonthlyChurn</f>
        <v>1.0812832028115194</v>
      </c>
      <c r="D13" s="10">
        <f>RampAcquisitions</f>
        <v>5</v>
      </c>
      <c r="E13" s="10">
        <f>B13-C13+D13</f>
        <v>39.96149022423913</v>
      </c>
      <c r="F13" s="7">
        <f>E13*ClientRevenue</f>
        <v>5994.223533635869</v>
      </c>
      <c r="G13" s="8">
        <f>IF(MOD(A13-1,3)=0,IF(F12&gt;=TopThreshold,TopRate,IF(F12&gt;=MidThreshold,MidRate,EntryRate))+FoundingBonus,G12)</f>
        <v>0.4</v>
      </c>
      <c r="H13" s="7">
        <f>F13*G13</f>
        <v>2397.6894134543477</v>
      </c>
      <c r="I13" s="7">
        <f>I12+H13</f>
        <v>11725.423765762334</v>
      </c>
    </row>
    <row r="14" spans="1:9">
      <c r="A14">
        <v>10</v>
      </c>
      <c r="B14" s="10">
        <f>E13</f>
        <v>39.96149022423913</v>
      </c>
      <c r="C14" s="10">
        <f>B14*MonthlyChurn</f>
        <v>1.1988447067271737</v>
      </c>
      <c r="D14" s="10">
        <f>RampAcquisitions</f>
        <v>5</v>
      </c>
      <c r="E14" s="10">
        <f>B14-C14+D14</f>
        <v>43.762645517511956</v>
      </c>
      <c r="F14" s="7">
        <f>E14*ClientRevenue</f>
        <v>6564.396827626793</v>
      </c>
      <c r="G14" s="8">
        <f>IF(MOD(A14-1,3)=0,IF(F13&gt;=TopThreshold,TopRate,IF(F13&gt;=MidThreshold,MidRate,EntryRate))+FoundingBonus,G13)</f>
        <v>0.475</v>
      </c>
      <c r="H14" s="7">
        <f>F14*G14</f>
        <v>3118.0884931227265</v>
      </c>
      <c r="I14" s="7">
        <f>I13+H14</f>
        <v>14843.51225888506</v>
      </c>
    </row>
    <row r="15" spans="1:9">
      <c r="A15">
        <v>11</v>
      </c>
      <c r="B15" s="10">
        <f>E14</f>
        <v>43.762645517511956</v>
      </c>
      <c r="C15" s="10">
        <f>B15*MonthlyChurn</f>
        <v>1.3128793655253586</v>
      </c>
      <c r="D15" s="10">
        <f>RampAcquisitions</f>
        <v>5</v>
      </c>
      <c r="E15" s="10">
        <f>B15-C15+D15</f>
        <v>47.449766151986594</v>
      </c>
      <c r="F15" s="7">
        <f>E15*ClientRevenue</f>
        <v>7117.464922797989</v>
      </c>
      <c r="G15" s="8">
        <f>IF(MOD(A15-1,3)=0,IF(F14&gt;=TopThreshold,TopRate,IF(F14&gt;=MidThreshold,MidRate,EntryRate))+FoundingBonus,G14)</f>
        <v>0.475</v>
      </c>
      <c r="H15" s="7">
        <f>F15*G15</f>
        <v>3380.7958383290447</v>
      </c>
      <c r="I15" s="7">
        <f>I14+H15</f>
        <v>18224.308097214107</v>
      </c>
    </row>
    <row r="16" spans="1:9">
      <c r="A16">
        <v>12</v>
      </c>
      <c r="B16" s="10">
        <f>E15</f>
        <v>47.449766151986594</v>
      </c>
      <c r="C16" s="10">
        <f>B16*MonthlyChurn</f>
        <v>1.4234929845595978</v>
      </c>
      <c r="D16" s="10">
        <f>RampAcquisitions</f>
        <v>5</v>
      </c>
      <c r="E16" s="10">
        <f>B16-C16+D16</f>
        <v>51.02627316742699</v>
      </c>
      <c r="F16" s="7">
        <f>E16*ClientRevenue</f>
        <v>7653.940975114049</v>
      </c>
      <c r="G16" s="8">
        <f>IF(MOD(A16-1,3)=0,IF(F15&gt;=TopThreshold,TopRate,IF(F15&gt;=MidThreshold,MidRate,EntryRate))+FoundingBonus,G15)</f>
        <v>0.475</v>
      </c>
      <c r="H16" s="7">
        <f>F16*G16</f>
        <v>3635.6219631791732</v>
      </c>
      <c r="I16" s="7">
        <f>I15+H16</f>
        <v>21859.93006039328</v>
      </c>
    </row>
    <row r="17" spans="1:9">
      <c r="A17">
        <v>13</v>
      </c>
      <c r="B17" s="10">
        <f>E16</f>
        <v>51.02627316742699</v>
      </c>
      <c r="C17" s="10">
        <f>B17*MonthlyChurn</f>
        <v>1.5307881950228097</v>
      </c>
      <c r="D17" s="10">
        <f>RampAcquisitions</f>
        <v>5</v>
      </c>
      <c r="E17" s="10">
        <f>B17-C17+D17</f>
        <v>54.495484972404185</v>
      </c>
      <c r="F17" s="7">
        <f>E17*ClientRevenue</f>
        <v>8174.322745860628</v>
      </c>
      <c r="G17" s="8">
        <f>IF(MOD(A17-1,3)=0,IF(F16&gt;=TopThreshold,TopRate,IF(F16&gt;=MidThreshold,MidRate,EntryRate))+FoundingBonus,G16)</f>
        <v>0.475</v>
      </c>
      <c r="H17" s="7">
        <f>F17*G17</f>
        <v>3882.8033042837983</v>
      </c>
      <c r="I17" s="7">
        <f>I16+H17</f>
        <v>25742.73336467708</v>
      </c>
    </row>
    <row r="18" spans="1:9">
      <c r="A18">
        <v>14</v>
      </c>
      <c r="B18" s="10">
        <f>E17</f>
        <v>54.495484972404185</v>
      </c>
      <c r="C18" s="10">
        <f>B18*MonthlyChurn</f>
        <v>1.6348645491721254</v>
      </c>
      <c r="D18" s="10">
        <f>RampAcquisitions</f>
        <v>5</v>
      </c>
      <c r="E18" s="10">
        <f>B18-C18+D18</f>
        <v>57.86062042323206</v>
      </c>
      <c r="F18" s="7">
        <f>E18*ClientRevenue</f>
        <v>8679.093063484808</v>
      </c>
      <c r="G18" s="8">
        <f>IF(MOD(A18-1,3)=0,IF(F17&gt;=TopThreshold,TopRate,IF(F17&gt;=MidThreshold,MidRate,EntryRate))+FoundingBonus,G17)</f>
        <v>0.475</v>
      </c>
      <c r="H18" s="7">
        <f>F18*G18</f>
        <v>4122.569205155283</v>
      </c>
      <c r="I18" s="7">
        <f>I17+H18</f>
        <v>29865.30256983236</v>
      </c>
    </row>
    <row r="19" spans="1:9">
      <c r="A19">
        <v>15</v>
      </c>
      <c r="B19" s="10">
        <f>E18</f>
        <v>57.86062042323206</v>
      </c>
      <c r="C19" s="10">
        <f>B19*MonthlyChurn</f>
        <v>1.7358186126969617</v>
      </c>
      <c r="D19" s="10">
        <f>RampAcquisitions</f>
        <v>5</v>
      </c>
      <c r="E19" s="10">
        <f>B19-C19+D19</f>
        <v>61.1248018105351</v>
      </c>
      <c r="F19" s="7">
        <f>E19*ClientRevenue</f>
        <v>9168.720271580265</v>
      </c>
      <c r="G19" s="8">
        <f>IF(MOD(A19-1,3)=0,IF(F18&gt;=TopThreshold,TopRate,IF(F18&gt;=MidThreshold,MidRate,EntryRate))+FoundingBonus,G18)</f>
        <v>0.475</v>
      </c>
      <c r="H19" s="7">
        <f>F19*G19</f>
        <v>4355.142129000626</v>
      </c>
      <c r="I19" s="7">
        <f>I18+H19</f>
        <v>34220.44469883299</v>
      </c>
    </row>
    <row r="20" spans="1:9">
      <c r="A20">
        <v>16</v>
      </c>
      <c r="B20" s="10">
        <f>E19</f>
        <v>61.1248018105351</v>
      </c>
      <c r="C20" s="10">
        <f>B20*MonthlyChurn</f>
        <v>1.8337440543160528</v>
      </c>
      <c r="D20" s="10">
        <f>RampAcquisitions</f>
        <v>5</v>
      </c>
      <c r="E20" s="10">
        <f>B20-C20+D20</f>
        <v>64.29105775621905</v>
      </c>
      <c r="F20" s="7">
        <f>E20*ClientRevenue</f>
        <v>9643.658663432858</v>
      </c>
      <c r="G20" s="8">
        <f>IF(MOD(A20-1,3)=0,IF(F19&gt;=TopThreshold,TopRate,IF(F19&gt;=MidThreshold,MidRate,EntryRate))+FoundingBonus,G19)</f>
        <v>0.475</v>
      </c>
      <c r="H20" s="7">
        <f>F20*G20</f>
        <v>4580.737865130607</v>
      </c>
      <c r="I20" s="7">
        <f>I19+H20</f>
        <v>38801.18256396359</v>
      </c>
    </row>
    <row r="21" spans="1:9">
      <c r="A21">
        <v>17</v>
      </c>
      <c r="B21" s="10">
        <f>E20</f>
        <v>64.29105775621905</v>
      </c>
      <c r="C21" s="10">
        <f>B21*MonthlyChurn</f>
        <v>1.9287317326865714</v>
      </c>
      <c r="D21" s="10">
        <f>RampAcquisitions</f>
        <v>5</v>
      </c>
      <c r="E21" s="10">
        <f>B21-C21+D21</f>
        <v>67.36232602353248</v>
      </c>
      <c r="F21" s="7">
        <f>E21*ClientRevenue</f>
        <v>10104.348903529872</v>
      </c>
      <c r="G21" s="8">
        <f>IF(MOD(A21-1,3)=0,IF(F20&gt;=TopThreshold,TopRate,IF(F20&gt;=MidThreshold,MidRate,EntryRate))+FoundingBonus,G20)</f>
        <v>0.475</v>
      </c>
      <c r="H21" s="7">
        <f>F21*G21</f>
        <v>4799.565729176689</v>
      </c>
      <c r="I21" s="7">
        <f>I20+H21</f>
        <v>43600.748293140285</v>
      </c>
    </row>
    <row r="22" spans="1:9">
      <c r="A22">
        <v>18</v>
      </c>
      <c r="B22" s="10">
        <f>E21</f>
        <v>67.36232602353248</v>
      </c>
      <c r="C22" s="10">
        <f>B22*MonthlyChurn</f>
        <v>2.0208697807059743</v>
      </c>
      <c r="D22" s="10">
        <f>RampAcquisitions</f>
        <v>5</v>
      </c>
      <c r="E22" s="10">
        <f>B22-C22+D22</f>
        <v>70.3414562428265</v>
      </c>
      <c r="F22" s="7">
        <f>E22*ClientRevenue</f>
        <v>10551.218436423975</v>
      </c>
      <c r="G22" s="8">
        <f>IF(MOD(A22-1,3)=0,IF(F21&gt;=TopThreshold,TopRate,IF(F21&gt;=MidThreshold,MidRate,EntryRate))+FoundingBonus,G21)</f>
        <v>0.475</v>
      </c>
      <c r="H22" s="7">
        <f>F22*G22</f>
        <v>5011.828757301388</v>
      </c>
      <c r="I22" s="7">
        <f>I21+H22</f>
        <v>48612.57705044167</v>
      </c>
    </row>
    <row r="23" spans="1:9">
      <c r="A23">
        <v>19</v>
      </c>
      <c r="B23" s="10">
        <f>E22</f>
        <v>70.3414562428265</v>
      </c>
      <c r="C23" s="10">
        <f>B23*MonthlyChurn</f>
        <v>2.110243687284795</v>
      </c>
      <c r="D23" s="10">
        <f>RampAcquisitions</f>
        <v>5</v>
      </c>
      <c r="E23" s="10">
        <f>B23-C23+D23</f>
        <v>73.2312125555417</v>
      </c>
      <c r="F23" s="7">
        <f>E23*ClientRevenue</f>
        <v>10984.681883331255</v>
      </c>
      <c r="G23" s="8">
        <f>IF(MOD(A23-1,3)=0,IF(F22&gt;=TopThreshold,TopRate,IF(F22&gt;=MidThreshold,MidRate,EntryRate))+FoundingBonus,G22)</f>
        <v>0.475</v>
      </c>
      <c r="H23" s="7">
        <f>F23*G23</f>
        <v>5217.7238945823465</v>
      </c>
      <c r="I23" s="7">
        <f>I22+H23</f>
        <v>53830.30094502402</v>
      </c>
    </row>
    <row r="24" spans="1:9">
      <c r="A24">
        <v>20</v>
      </c>
      <c r="B24" s="10">
        <f>E23</f>
        <v>73.2312125555417</v>
      </c>
      <c r="C24" s="10">
        <f>B24*MonthlyChurn</f>
        <v>2.196936376666251</v>
      </c>
      <c r="D24" s="10">
        <f>RampAcquisitions</f>
        <v>5</v>
      </c>
      <c r="E24" s="10">
        <f>B24-C24+D24</f>
        <v>76.03427617887544</v>
      </c>
      <c r="F24" s="7">
        <f>E24*ClientRevenue</f>
        <v>11405.141426831316</v>
      </c>
      <c r="G24" s="8">
        <f>IF(MOD(A24-1,3)=0,IF(F23&gt;=TopThreshold,TopRate,IF(F23&gt;=MidThreshold,MidRate,EntryRate))+FoundingBonus,G23)</f>
        <v>0.475</v>
      </c>
      <c r="H24" s="7">
        <f>F24*G24</f>
        <v>5417.442177744875</v>
      </c>
      <c r="I24" s="7">
        <f>I23+H24</f>
        <v>59247.743122768894</v>
      </c>
    </row>
    <row r="25" spans="1:9">
      <c r="A25">
        <v>21</v>
      </c>
      <c r="B25" s="10">
        <f>E24</f>
        <v>76.03427617887544</v>
      </c>
      <c r="C25" s="10">
        <f>B25*MonthlyChurn</f>
        <v>2.281028285366263</v>
      </c>
      <c r="D25" s="10">
        <f>RampAcquisitions</f>
        <v>5</v>
      </c>
      <c r="E25" s="10">
        <f>B25-C25+D25</f>
        <v>78.75324789350918</v>
      </c>
      <c r="F25" s="7">
        <f>E25*ClientRevenue</f>
        <v>11812.987184026377</v>
      </c>
      <c r="G25" s="8">
        <f>IF(MOD(A25-1,3)=0,IF(F24&gt;=TopThreshold,TopRate,IF(F24&gt;=MidThreshold,MidRate,EntryRate))+FoundingBonus,G24)</f>
        <v>0.475</v>
      </c>
      <c r="H25" s="7">
        <f>F25*G25</f>
        <v>5611.168912412529</v>
      </c>
      <c r="I25" s="7">
        <f>I24+H25</f>
        <v>64858.91203518142</v>
      </c>
    </row>
    <row r="26" spans="1:9">
      <c r="A26">
        <v>22</v>
      </c>
      <c r="B26" s="10">
        <f>E25</f>
        <v>78.75324789350918</v>
      </c>
      <c r="C26" s="10">
        <f>B26*MonthlyChurn</f>
        <v>2.3625974368052756</v>
      </c>
      <c r="D26" s="10">
        <f>RampAcquisitions</f>
        <v>5</v>
      </c>
      <c r="E26" s="10">
        <f>B26-C26+D26</f>
        <v>81.39065045670391</v>
      </c>
      <c r="F26" s="7">
        <f>E26*ClientRevenue</f>
        <v>12208.597568505586</v>
      </c>
      <c r="G26" s="8">
        <f>IF(MOD(A26-1,3)=0,IF(F25&gt;=TopThreshold,TopRate,IF(F25&gt;=MidThreshold,MidRate,EntryRate))+FoundingBonus,G25)</f>
        <v>0.475</v>
      </c>
      <c r="H26" s="7">
        <f>F26*G26</f>
        <v>5799.0838450401525</v>
      </c>
      <c r="I26" s="7">
        <f>I25+H26</f>
        <v>70657.99588022157</v>
      </c>
    </row>
    <row r="27" spans="1:9">
      <c r="A27">
        <v>23</v>
      </c>
      <c r="B27" s="10">
        <f>E26</f>
        <v>81.39065045670391</v>
      </c>
      <c r="C27" s="10">
        <f>B27*MonthlyChurn</f>
        <v>2.441719513701117</v>
      </c>
      <c r="D27" s="10">
        <f>RampAcquisitions</f>
        <v>5</v>
      </c>
      <c r="E27" s="10">
        <f>B27-C27+D27</f>
        <v>83.9489309430028</v>
      </c>
      <c r="F27" s="7">
        <f>E27*ClientRevenue</f>
        <v>12592.339641450419</v>
      </c>
      <c r="G27" s="8">
        <f>IF(MOD(A27-1,3)=0,IF(F26&gt;=TopThreshold,TopRate,IF(F26&gt;=MidThreshold,MidRate,EntryRate))+FoundingBonus,G26)</f>
        <v>0.475</v>
      </c>
      <c r="H27" s="7">
        <f>F27*G27</f>
        <v>5981.361329688949</v>
      </c>
      <c r="I27" s="7">
        <f>I26+H27</f>
        <v>76639.35720991052</v>
      </c>
    </row>
    <row r="28" spans="1:9">
      <c r="A28">
        <v>24</v>
      </c>
      <c r="B28" s="10">
        <f>E27</f>
        <v>83.9489309430028</v>
      </c>
      <c r="C28" s="10">
        <f>B28*MonthlyChurn</f>
        <v>2.5184679282900837</v>
      </c>
      <c r="D28" s="10">
        <f>RampAcquisitions</f>
        <v>5</v>
      </c>
      <c r="E28" s="10">
        <f>B28-C28+D28</f>
        <v>86.43046301471271</v>
      </c>
      <c r="F28" s="7">
        <f>E28*ClientRevenue</f>
        <v>12964.569452206908</v>
      </c>
      <c r="G28" s="8">
        <f>IF(MOD(A28-1,3)=0,IF(F27&gt;=TopThreshold,TopRate,IF(F27&gt;=MidThreshold,MidRate,EntryRate))+FoundingBonus,G27)</f>
        <v>0.475</v>
      </c>
      <c r="H28" s="7">
        <f>F28*G28</f>
        <v>6158.170489798281</v>
      </c>
      <c r="I28" s="7">
        <f>I27+H28</f>
        <v>82797.52769970881</v>
      </c>
    </row>
    <row r="29" spans="1:9">
      <c r="A29">
        <v>25</v>
      </c>
      <c r="B29" s="10">
        <f>E28</f>
        <v>86.43046301471271</v>
      </c>
      <c r="C29" s="10">
        <f>B29*MonthlyChurn</f>
        <v>2.5929138904413813</v>
      </c>
      <c r="D29" s="10">
        <f>RampAcquisitions</f>
        <v>5</v>
      </c>
      <c r="E29" s="10">
        <f>B29-C29+D29</f>
        <v>88.83754912427133</v>
      </c>
      <c r="F29" s="7">
        <f>E29*ClientRevenue</f>
        <v>13325.6323686407</v>
      </c>
      <c r="G29" s="8">
        <f>IF(MOD(A29-1,3)=0,IF(F28&gt;=TopThreshold,TopRate,IF(F28&gt;=MidThreshold,MidRate,EntryRate))+FoundingBonus,G28)</f>
        <v>0.475</v>
      </c>
      <c r="H29" s="7">
        <f>F29*G29</f>
        <v>6329.675375104332</v>
      </c>
      <c r="I29" s="7">
        <f>I28+H29</f>
        <v>89127.20307481314</v>
      </c>
    </row>
    <row r="30" spans="1:9">
      <c r="A30">
        <v>26</v>
      </c>
      <c r="B30" s="10">
        <f>E29</f>
        <v>88.83754912427133</v>
      </c>
      <c r="C30" s="10">
        <f>B30*MonthlyChurn</f>
        <v>2.6651264737281397</v>
      </c>
      <c r="D30" s="10">
        <f>RampAcquisitions</f>
        <v>5</v>
      </c>
      <c r="E30" s="10">
        <f>B30-C30+D30</f>
        <v>91.1724226505432</v>
      </c>
      <c r="F30" s="7">
        <f>E30*ClientRevenue</f>
        <v>13675.86339758148</v>
      </c>
      <c r="G30" s="8">
        <f>IF(MOD(A30-1,3)=0,IF(F29&gt;=TopThreshold,TopRate,IF(F29&gt;=MidThreshold,MidRate,EntryRate))+FoundingBonus,G29)</f>
        <v>0.475</v>
      </c>
      <c r="H30" s="7">
        <f>F30*G30</f>
        <v>6496.035113851202</v>
      </c>
      <c r="I30" s="7">
        <f>I29+H30</f>
        <v>95623.23818866434</v>
      </c>
    </row>
    <row r="31" spans="1:9">
      <c r="A31">
        <v>27</v>
      </c>
      <c r="B31" s="10">
        <f>E30</f>
        <v>91.1724226505432</v>
      </c>
      <c r="C31" s="10">
        <f>B31*MonthlyChurn</f>
        <v>2.7351726795162956</v>
      </c>
      <c r="D31" s="10">
        <f>RampAcquisitions</f>
        <v>5</v>
      </c>
      <c r="E31" s="10">
        <f>B31-C31+D31</f>
        <v>93.4372499710269</v>
      </c>
      <c r="F31" s="7">
        <f>E31*ClientRevenue</f>
        <v>14015.587495654036</v>
      </c>
      <c r="G31" s="8">
        <f>IF(MOD(A31-1,3)=0,IF(F30&gt;=TopThreshold,TopRate,IF(F30&gt;=MidThreshold,MidRate,EntryRate))+FoundingBonus,G30)</f>
        <v>0.475</v>
      </c>
      <c r="H31" s="7">
        <f>F31*G31</f>
        <v>6657.404060435667</v>
      </c>
      <c r="I31" s="7">
        <f>I30+H31</f>
        <v>102280.64224910001</v>
      </c>
    </row>
    <row r="32" spans="1:9">
      <c r="A32">
        <v>28</v>
      </c>
      <c r="B32" s="10">
        <f>E31</f>
        <v>93.4372499710269</v>
      </c>
      <c r="C32" s="10">
        <f>B32*MonthlyChurn</f>
        <v>2.8031174991308068</v>
      </c>
      <c r="D32" s="10">
        <f>RampAcquisitions</f>
        <v>5</v>
      </c>
      <c r="E32" s="10">
        <f>B32-C32+D32</f>
        <v>95.6341324718961</v>
      </c>
      <c r="F32" s="7">
        <f>E32*ClientRevenue</f>
        <v>14345.119870784414</v>
      </c>
      <c r="G32" s="8">
        <f>IF(MOD(A32-1,3)=0,IF(F31&gt;=TopThreshold,TopRate,IF(F31&gt;=MidThreshold,MidRate,EntryRate))+FoundingBonus,G31)</f>
        <v>0.475</v>
      </c>
      <c r="H32" s="7">
        <f>F32*G32</f>
        <v>6813.931938622596</v>
      </c>
      <c r="I32" s="7">
        <f>I31+H32</f>
        <v>109094.57418772261</v>
      </c>
    </row>
    <row r="33" spans="1:9">
      <c r="A33">
        <v>29</v>
      </c>
      <c r="B33" s="10">
        <f>E32</f>
        <v>95.6341324718961</v>
      </c>
      <c r="C33" s="10">
        <f>B33*MonthlyChurn</f>
        <v>2.8690239741568826</v>
      </c>
      <c r="D33" s="10">
        <f>RampAcquisitions</f>
        <v>5</v>
      </c>
      <c r="E33" s="10">
        <f>B33-C33+D33</f>
        <v>97.7651084977392</v>
      </c>
      <c r="F33" s="7">
        <f>E33*ClientRevenue</f>
        <v>14664.76627466088</v>
      </c>
      <c r="G33" s="8">
        <f>IF(MOD(A33-1,3)=0,IF(F32&gt;=TopThreshold,TopRate,IF(F32&gt;=MidThreshold,MidRate,EntryRate))+FoundingBonus,G32)</f>
        <v>0.475</v>
      </c>
      <c r="H33" s="7">
        <f>F33*G33</f>
        <v>6965.7639804639175</v>
      </c>
      <c r="I33" s="7">
        <f>I32+H33</f>
        <v>116060.33816818653</v>
      </c>
    </row>
    <row r="34" spans="1:9">
      <c r="A34">
        <v>30</v>
      </c>
      <c r="B34" s="10">
        <f>E33</f>
        <v>97.7651084977392</v>
      </c>
      <c r="C34" s="10">
        <f>B34*MonthlyChurn</f>
        <v>2.932953254932176</v>
      </c>
      <c r="D34" s="10">
        <f>RampAcquisitions</f>
        <v>5</v>
      </c>
      <c r="E34" s="10">
        <f>B34-C34+D34</f>
        <v>99.83215524280703</v>
      </c>
      <c r="F34" s="7">
        <f>E34*ClientRevenue</f>
        <v>14974.823286421055</v>
      </c>
      <c r="G34" s="8">
        <f>IF(MOD(A34-1,3)=0,IF(F33&gt;=TopThreshold,TopRate,IF(F33&gt;=MidThreshold,MidRate,EntryRate))+FoundingBonus,G33)</f>
        <v>0.475</v>
      </c>
      <c r="H34" s="7">
        <f>F34*G34</f>
        <v>7113.041061050001</v>
      </c>
      <c r="I34" s="7">
        <f>I33+H34</f>
        <v>123173.37922923653</v>
      </c>
    </row>
    <row r="35" spans="1:9">
      <c r="A35">
        <v>31</v>
      </c>
      <c r="B35" s="10">
        <f>E34</f>
        <v>99.83215524280703</v>
      </c>
      <c r="C35" s="10">
        <f>B35*MonthlyChurn</f>
        <v>2.994964657284211</v>
      </c>
      <c r="D35" s="10">
        <f>RampAcquisitions</f>
        <v>5</v>
      </c>
      <c r="E35" s="10">
        <f>B35-C35+D35</f>
        <v>101.83719058552282</v>
      </c>
      <c r="F35" s="7">
        <f>E35*ClientRevenue</f>
        <v>15275.578587828422</v>
      </c>
      <c r="G35" s="8">
        <f>IF(MOD(A35-1,3)=0,IF(F34&gt;=TopThreshold,TopRate,IF(F34&gt;=MidThreshold,MidRate,EntryRate))+FoundingBonus,G34)</f>
        <v>0.475</v>
      </c>
      <c r="H35" s="7">
        <f>F35*G35</f>
        <v>7255.899829218501</v>
      </c>
      <c r="I35" s="7">
        <f>I34+H35</f>
        <v>130429.27905845502</v>
      </c>
    </row>
    <row r="36" spans="1:9">
      <c r="A36">
        <v>32</v>
      </c>
      <c r="B36" s="10">
        <f>E35</f>
        <v>101.83719058552282</v>
      </c>
      <c r="C36" s="10">
        <f>B36*MonthlyChurn</f>
        <v>3.0551157175656845</v>
      </c>
      <c r="D36" s="10">
        <f>RampAcquisitions</f>
        <v>5</v>
      </c>
      <c r="E36" s="10">
        <f>B36-C36+D36</f>
        <v>103.78207486795714</v>
      </c>
      <c r="F36" s="7">
        <f>E36*ClientRevenue</f>
        <v>15567.31123019357</v>
      </c>
      <c r="G36" s="8">
        <f>IF(MOD(A36-1,3)=0,IF(F35&gt;=TopThreshold,TopRate,IF(F35&gt;=MidThreshold,MidRate,EntryRate))+FoundingBonus,G35)</f>
        <v>0.475</v>
      </c>
      <c r="H36" s="7">
        <f>F36*G36</f>
        <v>7394.472834341946</v>
      </c>
      <c r="I36" s="7">
        <f>I35+H36</f>
        <v>137823.75189279698</v>
      </c>
    </row>
    <row r="37" spans="1:9">
      <c r="A37">
        <v>33</v>
      </c>
      <c r="B37" s="10">
        <f>E36</f>
        <v>103.78207486795714</v>
      </c>
      <c r="C37" s="10">
        <f>B37*MonthlyChurn</f>
        <v>3.113462246038714</v>
      </c>
      <c r="D37" s="10">
        <f>RampAcquisitions</f>
        <v>5</v>
      </c>
      <c r="E37" s="10">
        <f>B37-C37+D37</f>
        <v>105.66861262191843</v>
      </c>
      <c r="F37" s="7">
        <f>E37*ClientRevenue</f>
        <v>15850.291893287764</v>
      </c>
      <c r="G37" s="8">
        <f>IF(MOD(A37-1,3)=0,IF(F36&gt;=TopThreshold,TopRate,IF(F36&gt;=MidThreshold,MidRate,EntryRate))+FoundingBonus,G36)</f>
        <v>0.475</v>
      </c>
      <c r="H37" s="7">
        <f>F37*G37</f>
        <v>7528.888649311687</v>
      </c>
      <c r="I37" s="7">
        <f>I36+H37</f>
        <v>145352.64054210865</v>
      </c>
    </row>
    <row r="38" spans="1:9">
      <c r="A38">
        <v>34</v>
      </c>
      <c r="B38" s="10">
        <f>E37</f>
        <v>105.66861262191843</v>
      </c>
      <c r="C38" s="10">
        <f>B38*MonthlyChurn</f>
        <v>3.170058378657553</v>
      </c>
      <c r="D38" s="10">
        <f>RampAcquisitions</f>
        <v>5</v>
      </c>
      <c r="E38" s="10">
        <f>B38-C38+D38</f>
        <v>107.49855424326087</v>
      </c>
      <c r="F38" s="7">
        <f>E38*ClientRevenue</f>
        <v>16124.78313648913</v>
      </c>
      <c r="G38" s="8">
        <f>IF(MOD(A38-1,3)=0,IF(F37&gt;=TopThreshold,TopRate,IF(F37&gt;=MidThreshold,MidRate,EntryRate))+FoundingBonus,G37)</f>
        <v>0.475</v>
      </c>
      <c r="H38" s="7">
        <f>F38*G38</f>
        <v>7659.271989832337</v>
      </c>
      <c r="I38" s="7">
        <f>I37+H38</f>
        <v>153011.912531941</v>
      </c>
    </row>
    <row r="39" spans="1:9">
      <c r="A39">
        <v>35</v>
      </c>
      <c r="B39" s="10">
        <f>E38</f>
        <v>107.49855424326087</v>
      </c>
      <c r="C39" s="10">
        <f>B39*MonthlyChurn</f>
        <v>3.224956627297826</v>
      </c>
      <c r="D39" s="10">
        <f>RampAcquisitions</f>
        <v>5</v>
      </c>
      <c r="E39" s="10">
        <f>B39-C39+D39</f>
        <v>109.27359761596304</v>
      </c>
      <c r="F39" s="7">
        <f>E39*ClientRevenue</f>
        <v>16391.039642394455</v>
      </c>
      <c r="G39" s="8">
        <f>IF(MOD(A39-1,3)=0,IF(F38&gt;=TopThreshold,TopRate,IF(F38&gt;=MidThreshold,MidRate,EntryRate))+FoundingBonus,G38)</f>
        <v>0.475</v>
      </c>
      <c r="H39" s="7">
        <f>F39*G39</f>
        <v>7785.743830137366</v>
      </c>
      <c r="I39" s="7">
        <f>I38+H39</f>
        <v>160797.65636207836</v>
      </c>
    </row>
    <row r="40" spans="1:9">
      <c r="A40">
        <v>36</v>
      </c>
      <c r="B40" s="10">
        <f>E39</f>
        <v>109.27359761596304</v>
      </c>
      <c r="C40" s="10">
        <f>B40*MonthlyChurn</f>
        <v>3.278207928478891</v>
      </c>
      <c r="D40" s="10">
        <f>RampAcquisitions</f>
        <v>5</v>
      </c>
      <c r="E40" s="10">
        <f>B40-C40+D40</f>
        <v>110.99538968748415</v>
      </c>
      <c r="F40" s="7">
        <f>E40*ClientRevenue</f>
        <v>16649.308453122623</v>
      </c>
      <c r="G40" s="8">
        <f>IF(MOD(A40-1,3)=0,IF(F39&gt;=TopThreshold,TopRate,IF(F39&gt;=MidThreshold,MidRate,EntryRate))+FoundingBonus,G39)</f>
        <v>0.475</v>
      </c>
      <c r="H40" s="7">
        <f>F40*G40</f>
        <v>7908.421515233245</v>
      </c>
      <c r="I40" s="7">
        <f>I39+H40</f>
        <v>168706.0778773116</v>
      </c>
    </row>
  </sheetData>
  <mergeCells count="2">
    <mergeCell ref="A1:I1"/>
    <mergeCell ref="A2:I2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8" width="18.7109375" customWidth="1"/>
  </cols>
  <sheetData>
    <row r="1" spans="1:8">
      <c r="A1" s="1" t="s">
        <v>104</v>
      </c>
      <c r="B1" s="1"/>
      <c r="C1" s="1"/>
      <c r="D1" s="1"/>
      <c r="E1" s="1"/>
      <c r="F1" s="1"/>
      <c r="G1" s="1"/>
      <c r="H1" s="1"/>
    </row>
    <row r="2" spans="1:8" ht="44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32" customHeight="1">
      <c r="A4" s="3" t="s">
        <v>105</v>
      </c>
      <c r="B4" s="3" t="s">
        <v>106</v>
      </c>
      <c r="C4" s="3" t="s">
        <v>95</v>
      </c>
      <c r="D4" s="3" t="s">
        <v>99</v>
      </c>
      <c r="E4" s="3" t="s">
        <v>100</v>
      </c>
      <c r="F4" s="3" t="s">
        <v>101</v>
      </c>
      <c r="G4" s="3" t="s">
        <v>107</v>
      </c>
      <c r="H4" s="3" t="s">
        <v>103</v>
      </c>
    </row>
    <row r="5" spans="1:8">
      <c r="A5" s="6">
        <v>2</v>
      </c>
      <c r="B5" s="5">
        <v>0.03</v>
      </c>
      <c r="C5">
        <v>1</v>
      </c>
      <c r="D5" s="10">
        <f>A5</f>
        <v>2.0</v>
      </c>
      <c r="E5" s="7">
        <f>D5*ClientRevenue</f>
        <v>300.0</v>
      </c>
      <c r="F5" s="8">
        <f>EntryRate+FoundingBonus</f>
        <v>0.35</v>
      </c>
      <c r="G5" s="7">
        <f>E5*F5</f>
        <v>105.0</v>
      </c>
      <c r="H5" s="7">
        <f>G5</f>
        <v>105.0</v>
      </c>
    </row>
    <row r="6" spans="1:8">
      <c r="A6" s="10">
        <f>A$5</f>
        <v>2</v>
      </c>
      <c r="B6" s="8">
        <f>B$5</f>
        <v>0.03</v>
      </c>
      <c r="C6">
        <v>2</v>
      </c>
      <c r="D6" s="10">
        <f>D5*(1-B6)+A6</f>
        <v>3.94</v>
      </c>
      <c r="E6" s="7">
        <f>D6*ClientRevenue</f>
        <v>591.0</v>
      </c>
      <c r="F6" s="8">
        <f>IF(MOD(C6-1,3)=0,IF(E5&gt;=TopThreshold,TopRate,IF(E5&gt;=MidThreshold,MidRate,EntryRate))+FoundingBonus,F5)</f>
        <v>0.35</v>
      </c>
      <c r="G6" s="7">
        <f>E6*F6</f>
        <v>206.85</v>
      </c>
      <c r="H6" s="7">
        <f>H5+G6</f>
        <v>311.85</v>
      </c>
    </row>
    <row r="7" spans="1:8">
      <c r="A7" s="10">
        <f>A$5</f>
        <v>2</v>
      </c>
      <c r="B7" s="8">
        <f>B$5</f>
        <v>0.03</v>
      </c>
      <c r="C7">
        <v>3</v>
      </c>
      <c r="D7" s="10">
        <f>D6*(1-B7)+A7</f>
        <v>5.8218</v>
      </c>
      <c r="E7" s="7">
        <f>D7*ClientRevenue</f>
        <v>873.27</v>
      </c>
      <c r="F7" s="8">
        <f>IF(MOD(C7-1,3)=0,IF(E6&gt;=TopThreshold,TopRate,IF(E6&gt;=MidThreshold,MidRate,EntryRate))+FoundingBonus,F6)</f>
        <v>0.35</v>
      </c>
      <c r="G7" s="7">
        <f>E7*F7</f>
        <v>305.6445</v>
      </c>
      <c r="H7" s="7">
        <f>H6+G7</f>
        <v>617.4945</v>
      </c>
    </row>
    <row r="8" spans="1:8">
      <c r="A8" s="10">
        <f>A$5</f>
        <v>2</v>
      </c>
      <c r="B8" s="8">
        <f>B$5</f>
        <v>0.03</v>
      </c>
      <c r="C8">
        <v>4</v>
      </c>
      <c r="D8" s="10">
        <f>D7*(1-B8)+A8</f>
        <v>7.647145999999999</v>
      </c>
      <c r="E8" s="7">
        <f>D8*ClientRevenue</f>
        <v>1147.0719</v>
      </c>
      <c r="F8" s="8">
        <f>IF(MOD(C8-1,3)=0,IF(E7&gt;=TopThreshold,TopRate,IF(E7&gt;=MidThreshold,MidRate,EntryRate))+FoundingBonus,F7)</f>
        <v>0.35</v>
      </c>
      <c r="G8" s="7">
        <f>E8*F8</f>
        <v>401.47516499999995</v>
      </c>
      <c r="H8" s="7">
        <f>H7+G8</f>
        <v>1018.969665</v>
      </c>
    </row>
    <row r="9" spans="1:8">
      <c r="A9" s="10">
        <f>A$5</f>
        <v>2</v>
      </c>
      <c r="B9" s="8">
        <f>B$5</f>
        <v>0.03</v>
      </c>
      <c r="C9">
        <v>5</v>
      </c>
      <c r="D9" s="10">
        <f>D8*(1-B9)+A9</f>
        <v>9.417731619999998</v>
      </c>
      <c r="E9" s="7">
        <f>D9*ClientRevenue</f>
        <v>1412.6597429999997</v>
      </c>
      <c r="F9" s="8">
        <f>IF(MOD(C9-1,3)=0,IF(E8&gt;=TopThreshold,TopRate,IF(E8&gt;=MidThreshold,MidRate,EntryRate))+FoundingBonus,F8)</f>
        <v>0.35</v>
      </c>
      <c r="G9" s="7">
        <f>E9*F9</f>
        <v>494.43091004999985</v>
      </c>
      <c r="H9" s="7">
        <f>H8+G9</f>
        <v>1513.4005750499998</v>
      </c>
    </row>
    <row r="10" spans="1:8">
      <c r="A10" s="10">
        <f>A$5</f>
        <v>2</v>
      </c>
      <c r="B10" s="8">
        <f>B$5</f>
        <v>0.03</v>
      </c>
      <c r="C10">
        <v>6</v>
      </c>
      <c r="D10" s="10">
        <f>D9*(1-B10)+A10</f>
        <v>11.135199671399997</v>
      </c>
      <c r="E10" s="7">
        <f>D10*ClientRevenue</f>
        <v>1670.2799507099996</v>
      </c>
      <c r="F10" s="8">
        <f>IF(MOD(C10-1,3)=0,IF(E9&gt;=TopThreshold,TopRate,IF(E9&gt;=MidThreshold,MidRate,EntryRate))+FoundingBonus,F9)</f>
        <v>0.35</v>
      </c>
      <c r="G10" s="7">
        <f>E10*F10</f>
        <v>584.5979827484998</v>
      </c>
      <c r="H10" s="7">
        <f>H9+G10</f>
        <v>2097.9985577985</v>
      </c>
    </row>
    <row r="11" spans="1:8">
      <c r="A11" s="10">
        <f>A$5</f>
        <v>2</v>
      </c>
      <c r="B11" s="8">
        <f>B$5</f>
        <v>0.03</v>
      </c>
      <c r="C11">
        <v>7</v>
      </c>
      <c r="D11" s="10">
        <f>D10*(1-B11)+A11</f>
        <v>12.801143681257997</v>
      </c>
      <c r="E11" s="7">
        <f>D11*ClientRevenue</f>
        <v>1920.1715521886995</v>
      </c>
      <c r="F11" s="8">
        <f>IF(MOD(C11-1,3)=0,IF(E10&gt;=TopThreshold,TopRate,IF(E10&gt;=MidThreshold,MidRate,EntryRate))+FoundingBonus,F10)</f>
        <v>0.35</v>
      </c>
      <c r="G11" s="7">
        <f>E11*F11</f>
        <v>672.0600432660448</v>
      </c>
      <c r="H11" s="7">
        <f>H10+G11</f>
        <v>2770.0586010645447</v>
      </c>
    </row>
    <row r="12" spans="1:8">
      <c r="A12" s="10">
        <f>A$5</f>
        <v>2</v>
      </c>
      <c r="B12" s="8">
        <f>B$5</f>
        <v>0.03</v>
      </c>
      <c r="C12">
        <v>8</v>
      </c>
      <c r="D12" s="10">
        <f>D11*(1-B12)+A12</f>
        <v>14.417109370820256</v>
      </c>
      <c r="E12" s="7">
        <f>D12*ClientRevenue</f>
        <v>2162.5664056230385</v>
      </c>
      <c r="F12" s="8">
        <f>IF(MOD(C12-1,3)=0,IF(E11&gt;=TopThreshold,TopRate,IF(E11&gt;=MidThreshold,MidRate,EntryRate))+FoundingBonus,F11)</f>
        <v>0.35</v>
      </c>
      <c r="G12" s="7">
        <f>E12*F12</f>
        <v>756.8982419680634</v>
      </c>
      <c r="H12" s="7">
        <f>H11+G12</f>
        <v>3526.956843032608</v>
      </c>
    </row>
    <row r="13" spans="1:8">
      <c r="A13" s="10">
        <f>A$5</f>
        <v>2</v>
      </c>
      <c r="B13" s="8">
        <f>B$5</f>
        <v>0.03</v>
      </c>
      <c r="C13">
        <v>9</v>
      </c>
      <c r="D13" s="10">
        <f>D12*(1-B13)+A13</f>
        <v>15.984596089695648</v>
      </c>
      <c r="E13" s="7">
        <f>D13*ClientRevenue</f>
        <v>2397.6894134543472</v>
      </c>
      <c r="F13" s="8">
        <f>IF(MOD(C13-1,3)=0,IF(E12&gt;=TopThreshold,TopRate,IF(E12&gt;=MidThreshold,MidRate,EntryRate))+FoundingBonus,F12)</f>
        <v>0.35</v>
      </c>
      <c r="G13" s="7">
        <f>E13*F13</f>
        <v>839.1912947090215</v>
      </c>
      <c r="H13" s="7">
        <f>H12+G13</f>
        <v>4366.148137741629</v>
      </c>
    </row>
    <row r="14" spans="1:8">
      <c r="A14" s="10">
        <f>A$5</f>
        <v>2</v>
      </c>
      <c r="B14" s="8">
        <f>B$5</f>
        <v>0.03</v>
      </c>
      <c r="C14">
        <v>10</v>
      </c>
      <c r="D14" s="10">
        <f>D13*(1-B14)+A14</f>
        <v>17.50505820700478</v>
      </c>
      <c r="E14" s="7">
        <f>D14*ClientRevenue</f>
        <v>2625.758731050717</v>
      </c>
      <c r="F14" s="8">
        <f>IF(MOD(C14-1,3)=0,IF(E13&gt;=TopThreshold,TopRate,IF(E13&gt;=MidThreshold,MidRate,EntryRate))+FoundingBonus,F13)</f>
        <v>0.4</v>
      </c>
      <c r="G14" s="7">
        <f>E14*F14</f>
        <v>1050.3034924202868</v>
      </c>
      <c r="H14" s="7">
        <f>H13+G14</f>
        <v>5416.451630161916</v>
      </c>
    </row>
    <row r="15" spans="1:8">
      <c r="A15" s="10">
        <f>A$5</f>
        <v>2</v>
      </c>
      <c r="B15" s="8">
        <f>B$5</f>
        <v>0.03</v>
      </c>
      <c r="C15">
        <v>11</v>
      </c>
      <c r="D15" s="10">
        <f>D14*(1-B15)+A15</f>
        <v>18.979906460794634</v>
      </c>
      <c r="E15" s="7">
        <f>D15*ClientRevenue</f>
        <v>2846.985969119195</v>
      </c>
      <c r="F15" s="8">
        <f>IF(MOD(C15-1,3)=0,IF(E14&gt;=TopThreshold,TopRate,IF(E14&gt;=MidThreshold,MidRate,EntryRate))+FoundingBonus,F14)</f>
        <v>0.4</v>
      </c>
      <c r="G15" s="7">
        <f>E15*F15</f>
        <v>1138.7943876476781</v>
      </c>
      <c r="H15" s="7">
        <f>H14+G15</f>
        <v>6555.246017809594</v>
      </c>
    </row>
    <row r="16" spans="1:8">
      <c r="A16" s="10">
        <f>A$5</f>
        <v>2</v>
      </c>
      <c r="B16" s="8">
        <f>B$5</f>
        <v>0.03</v>
      </c>
      <c r="C16">
        <v>12</v>
      </c>
      <c r="D16" s="10">
        <f>D15*(1-B16)+A16</f>
        <v>20.410509266970795</v>
      </c>
      <c r="E16" s="7">
        <f>D16*ClientRevenue</f>
        <v>3061.576390045619</v>
      </c>
      <c r="F16" s="8">
        <f>IF(MOD(C16-1,3)=0,IF(E15&gt;=TopThreshold,TopRate,IF(E15&gt;=MidThreshold,MidRate,EntryRate))+FoundingBonus,F15)</f>
        <v>0.4</v>
      </c>
      <c r="G16" s="7">
        <f>E16*F16</f>
        <v>1224.6305560182477</v>
      </c>
      <c r="H16" s="7">
        <f>H15+G16</f>
        <v>7779.876573827842</v>
      </c>
    </row>
    <row r="17" spans="1:8">
      <c r="A17" s="10">
        <f>A$5</f>
        <v>2</v>
      </c>
      <c r="B17" s="8">
        <f>B$5</f>
        <v>0.03</v>
      </c>
      <c r="C17">
        <v>13</v>
      </c>
      <c r="D17" s="10">
        <f>D16*(1-B17)+A17</f>
        <v>21.79819398896167</v>
      </c>
      <c r="E17" s="7">
        <f>D17*ClientRevenue</f>
        <v>3269.729098344251</v>
      </c>
      <c r="F17" s="8">
        <f>IF(MOD(C17-1,3)=0,IF(E16&gt;=TopThreshold,TopRate,IF(E16&gt;=MidThreshold,MidRate,EntryRate))+FoundingBonus,F16)</f>
        <v>0.4</v>
      </c>
      <c r="G17" s="7">
        <f>E17*F17</f>
        <v>1307.8916393377003</v>
      </c>
      <c r="H17" s="7">
        <f>H16+G17</f>
        <v>9087.768213165542</v>
      </c>
    </row>
    <row r="18" spans="1:8">
      <c r="A18" s="10">
        <f>A$5</f>
        <v>2</v>
      </c>
      <c r="B18" s="8">
        <f>B$5</f>
        <v>0.03</v>
      </c>
      <c r="C18">
        <v>14</v>
      </c>
      <c r="D18" s="10">
        <f>D17*(1-B18)+A18</f>
        <v>23.14424816929282</v>
      </c>
      <c r="E18" s="7">
        <f>D18*ClientRevenue</f>
        <v>3471.637225393923</v>
      </c>
      <c r="F18" s="8">
        <f>IF(MOD(C18-1,3)=0,IF(E17&gt;=TopThreshold,TopRate,IF(E17&gt;=MidThreshold,MidRate,EntryRate))+FoundingBonus,F17)</f>
        <v>0.4</v>
      </c>
      <c r="G18" s="7">
        <f>E18*F18</f>
        <v>1388.6548901575693</v>
      </c>
      <c r="H18" s="7">
        <f>H17+G18</f>
        <v>10476.423103323112</v>
      </c>
    </row>
    <row r="19" spans="1:8">
      <c r="A19" s="10">
        <f>A$5</f>
        <v>2</v>
      </c>
      <c r="B19" s="8">
        <f>B$5</f>
        <v>0.03</v>
      </c>
      <c r="C19">
        <v>15</v>
      </c>
      <c r="D19" s="10">
        <f>D18*(1-B19)+A19</f>
        <v>24.449920724214035</v>
      </c>
      <c r="E19" s="7">
        <f>D19*ClientRevenue</f>
        <v>3667.488108632105</v>
      </c>
      <c r="F19" s="8">
        <f>IF(MOD(C19-1,3)=0,IF(E18&gt;=TopThreshold,TopRate,IF(E18&gt;=MidThreshold,MidRate,EntryRate))+FoundingBonus,F18)</f>
        <v>0.4</v>
      </c>
      <c r="G19" s="7">
        <f>E19*F19</f>
        <v>1466.9952434528423</v>
      </c>
      <c r="H19" s="7">
        <f>H18+G19</f>
        <v>11943.418346775954</v>
      </c>
    </row>
    <row r="20" spans="1:8">
      <c r="A20" s="10">
        <f>A$5</f>
        <v>2</v>
      </c>
      <c r="B20" s="8">
        <f>B$5</f>
        <v>0.03</v>
      </c>
      <c r="C20">
        <v>16</v>
      </c>
      <c r="D20" s="10">
        <f>D19*(1-B20)+A20</f>
        <v>25.716423102487614</v>
      </c>
      <c r="E20" s="7">
        <f>D20*ClientRevenue</f>
        <v>3857.463465373142</v>
      </c>
      <c r="F20" s="8">
        <f>IF(MOD(C20-1,3)=0,IF(E19&gt;=TopThreshold,TopRate,IF(E19&gt;=MidThreshold,MidRate,EntryRate))+FoundingBonus,F19)</f>
        <v>0.4</v>
      </c>
      <c r="G20" s="7">
        <f>E20*F20</f>
        <v>1542.9853861492568</v>
      </c>
      <c r="H20" s="7">
        <f>H19+G20</f>
        <v>13486.403732925211</v>
      </c>
    </row>
    <row r="21" spans="1:8">
      <c r="A21" s="10">
        <f>A$5</f>
        <v>2</v>
      </c>
      <c r="B21" s="8">
        <f>B$5</f>
        <v>0.03</v>
      </c>
      <c r="C21">
        <v>17</v>
      </c>
      <c r="D21" s="10">
        <f>D20*(1-B21)+A21</f>
        <v>26.944930409412983</v>
      </c>
      <c r="E21" s="7">
        <f>D21*ClientRevenue</f>
        <v>4041.7395614119473</v>
      </c>
      <c r="F21" s="8">
        <f>IF(MOD(C21-1,3)=0,IF(E20&gt;=TopThreshold,TopRate,IF(E20&gt;=MidThreshold,MidRate,EntryRate))+FoundingBonus,F20)</f>
        <v>0.4</v>
      </c>
      <c r="G21" s="7">
        <f>E21*F21</f>
        <v>1616.695824564779</v>
      </c>
      <c r="H21" s="7">
        <f>H20+G21</f>
        <v>15103.09955748999</v>
      </c>
    </row>
    <row r="22" spans="1:8">
      <c r="A22" s="10">
        <f>A$5</f>
        <v>2</v>
      </c>
      <c r="B22" s="8">
        <f>B$5</f>
        <v>0.03</v>
      </c>
      <c r="C22">
        <v>18</v>
      </c>
      <c r="D22" s="10">
        <f>D21*(1-B22)+A22</f>
        <v>28.136582497130593</v>
      </c>
      <c r="E22" s="7">
        <f>D22*ClientRevenue</f>
        <v>4220.487374569589</v>
      </c>
      <c r="F22" s="8">
        <f>IF(MOD(C22-1,3)=0,IF(E21&gt;=TopThreshold,TopRate,IF(E21&gt;=MidThreshold,MidRate,EntryRate))+FoundingBonus,F21)</f>
        <v>0.4</v>
      </c>
      <c r="G22" s="7">
        <f>E22*F22</f>
        <v>1688.1949498278354</v>
      </c>
      <c r="H22" s="7">
        <f>H21+G22</f>
        <v>16791.294507317827</v>
      </c>
    </row>
    <row r="23" spans="1:8">
      <c r="A23" s="10">
        <f>A$5</f>
        <v>2</v>
      </c>
      <c r="B23" s="8">
        <f>B$5</f>
        <v>0.03</v>
      </c>
      <c r="C23">
        <v>19</v>
      </c>
      <c r="D23" s="10">
        <f>D22*(1-B23)+A23</f>
        <v>29.292485022216674</v>
      </c>
      <c r="E23" s="7">
        <f>D23*ClientRevenue</f>
        <v>4393.872753332501</v>
      </c>
      <c r="F23" s="8">
        <f>IF(MOD(C23-1,3)=0,IF(E22&gt;=TopThreshold,TopRate,IF(E22&gt;=MidThreshold,MidRate,EntryRate))+FoundingBonus,F22)</f>
        <v>0.4</v>
      </c>
      <c r="G23" s="7">
        <f>E23*F23</f>
        <v>1757.5491013330004</v>
      </c>
      <c r="H23" s="7">
        <f>H22+G23</f>
        <v>18548.843608650826</v>
      </c>
    </row>
    <row r="24" spans="1:8">
      <c r="A24" s="10">
        <f>A$5</f>
        <v>2</v>
      </c>
      <c r="B24" s="8">
        <f>B$5</f>
        <v>0.03</v>
      </c>
      <c r="C24">
        <v>20</v>
      </c>
      <c r="D24" s="10">
        <f>D23*(1-B24)+A24</f>
        <v>30.41371047155017</v>
      </c>
      <c r="E24" s="7">
        <f>D24*ClientRevenue</f>
        <v>4562.056570732526</v>
      </c>
      <c r="F24" s="8">
        <f>IF(MOD(C24-1,3)=0,IF(E23&gt;=TopThreshold,TopRate,IF(E23&gt;=MidThreshold,MidRate,EntryRate))+FoundingBonus,F23)</f>
        <v>0.4</v>
      </c>
      <c r="G24" s="7">
        <f>E24*F24</f>
        <v>1824.8226282930104</v>
      </c>
      <c r="H24" s="7">
        <f>H23+G24</f>
        <v>20373.666236943838</v>
      </c>
    </row>
    <row r="25" spans="1:8">
      <c r="A25" s="10">
        <f>A$5</f>
        <v>2</v>
      </c>
      <c r="B25" s="8">
        <f>B$5</f>
        <v>0.03</v>
      </c>
      <c r="C25">
        <v>21</v>
      </c>
      <c r="D25" s="10">
        <f>D24*(1-B25)+A25</f>
        <v>31.501299157403665</v>
      </c>
      <c r="E25" s="7">
        <f>D25*ClientRevenue</f>
        <v>4725.19487361055</v>
      </c>
      <c r="F25" s="8">
        <f>IF(MOD(C25-1,3)=0,IF(E24&gt;=TopThreshold,TopRate,IF(E24&gt;=MidThreshold,MidRate,EntryRate))+FoundingBonus,F24)</f>
        <v>0.4</v>
      </c>
      <c r="G25" s="7">
        <f>E25*F25</f>
        <v>1890.07794944422</v>
      </c>
      <c r="H25" s="7">
        <f>H24+G25</f>
        <v>22263.74418638806</v>
      </c>
    </row>
    <row r="26" spans="1:8">
      <c r="A26" s="10">
        <f>A$5</f>
        <v>2</v>
      </c>
      <c r="B26" s="8">
        <f>B$5</f>
        <v>0.03</v>
      </c>
      <c r="C26">
        <v>22</v>
      </c>
      <c r="D26" s="10">
        <f>D25*(1-B26)+A26</f>
        <v>32.556260182681555</v>
      </c>
      <c r="E26" s="7">
        <f>D26*ClientRevenue</f>
        <v>4883.4390274022335</v>
      </c>
      <c r="F26" s="8">
        <f>IF(MOD(C26-1,3)=0,IF(E25&gt;=TopThreshold,TopRate,IF(E25&gt;=MidThreshold,MidRate,EntryRate))+FoundingBonus,F25)</f>
        <v>0.4</v>
      </c>
      <c r="G26" s="7">
        <f>E26*F26</f>
        <v>1953.3756109608935</v>
      </c>
      <c r="H26" s="7">
        <f>H25+G26</f>
        <v>24217.119797348954</v>
      </c>
    </row>
    <row r="27" spans="1:8">
      <c r="A27" s="10">
        <f>A$5</f>
        <v>2</v>
      </c>
      <c r="B27" s="8">
        <f>B$5</f>
        <v>0.03</v>
      </c>
      <c r="C27">
        <v>23</v>
      </c>
      <c r="D27" s="10">
        <f>D26*(1-B27)+A27</f>
        <v>33.5795723772011</v>
      </c>
      <c r="E27" s="7">
        <f>D27*ClientRevenue</f>
        <v>5036.935856580166</v>
      </c>
      <c r="F27" s="8">
        <f>IF(MOD(C27-1,3)=0,IF(E26&gt;=TopThreshold,TopRate,IF(E26&gt;=MidThreshold,MidRate,EntryRate))+FoundingBonus,F26)</f>
        <v>0.4</v>
      </c>
      <c r="G27" s="7">
        <f>E27*F27</f>
        <v>2014.7743426320665</v>
      </c>
      <c r="H27" s="7">
        <f>H26+G27</f>
        <v>26231.89413998102</v>
      </c>
    </row>
    <row r="28" spans="1:8">
      <c r="A28" s="10">
        <f>A$5</f>
        <v>2</v>
      </c>
      <c r="B28" s="8">
        <f>B$5</f>
        <v>0.03</v>
      </c>
      <c r="C28">
        <v>24</v>
      </c>
      <c r="D28" s="10">
        <f>D27*(1-B28)+A28</f>
        <v>34.57218520588507</v>
      </c>
      <c r="E28" s="7">
        <f>D28*ClientRevenue</f>
        <v>5185.827780882761</v>
      </c>
      <c r="F28" s="8">
        <f>IF(MOD(C28-1,3)=0,IF(E27&gt;=TopThreshold,TopRate,IF(E27&gt;=MidThreshold,MidRate,EntryRate))+FoundingBonus,F27)</f>
        <v>0.4</v>
      </c>
      <c r="G28" s="7">
        <f>E28*F28</f>
        <v>2074.3311123531043</v>
      </c>
      <c r="H28" s="7">
        <f>H27+G28</f>
        <v>28306.225252334127</v>
      </c>
    </row>
    <row r="29" spans="1:8">
      <c r="A29" s="10">
        <f>A$5</f>
        <v>2</v>
      </c>
      <c r="B29" s="8">
        <f>B$5</f>
        <v>0.03</v>
      </c>
      <c r="C29">
        <v>25</v>
      </c>
      <c r="D29" s="10">
        <f>D28*(1-B29)+A29</f>
        <v>35.53501964970852</v>
      </c>
      <c r="E29" s="7">
        <f>D29*ClientRevenue</f>
        <v>5330.252947456277</v>
      </c>
      <c r="F29" s="8">
        <f>IF(MOD(C29-1,3)=0,IF(E28&gt;=TopThreshold,TopRate,IF(E28&gt;=MidThreshold,MidRate,EntryRate))+FoundingBonus,F28)</f>
        <v>0.475</v>
      </c>
      <c r="G29" s="7">
        <f>E29*F29</f>
        <v>2531.8701500417314</v>
      </c>
      <c r="H29" s="7">
        <f>H28+G29</f>
        <v>30838.095402375857</v>
      </c>
    </row>
    <row r="30" spans="1:8">
      <c r="A30" s="10">
        <f>A$5</f>
        <v>2</v>
      </c>
      <c r="B30" s="8">
        <f>B$5</f>
        <v>0.03</v>
      </c>
      <c r="C30">
        <v>26</v>
      </c>
      <c r="D30" s="10">
        <f>D29*(1-B30)+A30</f>
        <v>36.46896906021726</v>
      </c>
      <c r="E30" s="7">
        <f>D30*ClientRevenue</f>
        <v>5470.345359032589</v>
      </c>
      <c r="F30" s="8">
        <f>IF(MOD(C30-1,3)=0,IF(E29&gt;=TopThreshold,TopRate,IF(E29&gt;=MidThreshold,MidRate,EntryRate))+FoundingBonus,F29)</f>
        <v>0.475</v>
      </c>
      <c r="G30" s="7">
        <f>E30*F30</f>
        <v>2598.4140455404795</v>
      </c>
      <c r="H30" s="7">
        <f>H29+G30</f>
        <v>33436.50944791634</v>
      </c>
    </row>
    <row r="31" spans="1:8">
      <c r="A31" s="10">
        <f>A$5</f>
        <v>2</v>
      </c>
      <c r="B31" s="8">
        <f>B$5</f>
        <v>0.03</v>
      </c>
      <c r="C31">
        <v>27</v>
      </c>
      <c r="D31" s="10">
        <f>D30*(1-B31)+A31</f>
        <v>37.374899988410746</v>
      </c>
      <c r="E31" s="7">
        <f>D31*ClientRevenue</f>
        <v>5606.2349982616115</v>
      </c>
      <c r="F31" s="8">
        <f>IF(MOD(C31-1,3)=0,IF(E30&gt;=TopThreshold,TopRate,IF(E30&gt;=MidThreshold,MidRate,EntryRate))+FoundingBonus,F30)</f>
        <v>0.475</v>
      </c>
      <c r="G31" s="7">
        <f>E31*F31</f>
        <v>2662.961624174265</v>
      </c>
      <c r="H31" s="7">
        <f>H30+G31</f>
        <v>36099.4710720906</v>
      </c>
    </row>
    <row r="32" spans="1:8">
      <c r="A32" s="10">
        <f>A$5</f>
        <v>2</v>
      </c>
      <c r="B32" s="8">
        <f>B$5</f>
        <v>0.03</v>
      </c>
      <c r="C32">
        <v>28</v>
      </c>
      <c r="D32" s="10">
        <f>D31*(1-B32)+A32</f>
        <v>38.253652988758425</v>
      </c>
      <c r="E32" s="7">
        <f>D32*ClientRevenue</f>
        <v>5738.047948313764</v>
      </c>
      <c r="F32" s="8">
        <f>IF(MOD(C32-1,3)=0,IF(E31&gt;=TopThreshold,TopRate,IF(E31&gt;=MidThreshold,MidRate,EntryRate))+FoundingBonus,F31)</f>
        <v>0.475</v>
      </c>
      <c r="G32" s="7">
        <f>E32*F32</f>
        <v>2725.572775449038</v>
      </c>
      <c r="H32" s="7">
        <f>H31+G32</f>
        <v>38825.04384753964</v>
      </c>
    </row>
    <row r="33" spans="1:8">
      <c r="A33" s="10">
        <f>A$5</f>
        <v>2</v>
      </c>
      <c r="B33" s="8">
        <f>B$5</f>
        <v>0.03</v>
      </c>
      <c r="C33">
        <v>29</v>
      </c>
      <c r="D33" s="10">
        <f>D32*(1-B33)+A33</f>
        <v>39.10604339909567</v>
      </c>
      <c r="E33" s="7">
        <f>D33*ClientRevenue</f>
        <v>5865.9065098643505</v>
      </c>
      <c r="F33" s="8">
        <f>IF(MOD(C33-1,3)=0,IF(E32&gt;=TopThreshold,TopRate,IF(E32&gt;=MidThreshold,MidRate,EntryRate))+FoundingBonus,F32)</f>
        <v>0.475</v>
      </c>
      <c r="G33" s="7">
        <f>E33*F33</f>
        <v>2786.305592185566</v>
      </c>
      <c r="H33" s="7">
        <f>H32+G33</f>
        <v>41611.3494397252</v>
      </c>
    </row>
    <row r="34" spans="1:8">
      <c r="A34" s="10">
        <f>A$5</f>
        <v>2</v>
      </c>
      <c r="B34" s="8">
        <f>B$5</f>
        <v>0.03</v>
      </c>
      <c r="C34">
        <v>30</v>
      </c>
      <c r="D34" s="10">
        <f>D33*(1-B34)+A34</f>
        <v>39.9328620971228</v>
      </c>
      <c r="E34" s="7">
        <f>D34*ClientRevenue</f>
        <v>5989.9293145684205</v>
      </c>
      <c r="F34" s="8">
        <f>IF(MOD(C34-1,3)=0,IF(E33&gt;=TopThreshold,TopRate,IF(E33&gt;=MidThreshold,MidRate,EntryRate))+FoundingBonus,F33)</f>
        <v>0.475</v>
      </c>
      <c r="G34" s="7">
        <f>E34*F34</f>
        <v>2845.21642442</v>
      </c>
      <c r="H34" s="7">
        <f>H33+G34</f>
        <v>44456.5658641452</v>
      </c>
    </row>
    <row r="35" spans="1:8">
      <c r="A35" s="10">
        <f>A$5</f>
        <v>2</v>
      </c>
      <c r="B35" s="8">
        <f>B$5</f>
        <v>0.03</v>
      </c>
      <c r="C35">
        <v>31</v>
      </c>
      <c r="D35" s="10">
        <f>D34*(1-B35)+A35</f>
        <v>40.73487623420912</v>
      </c>
      <c r="E35" s="7">
        <f>D35*ClientRevenue</f>
        <v>6110.231435131368</v>
      </c>
      <c r="F35" s="8">
        <f>IF(MOD(C35-1,3)=0,IF(E34&gt;=TopThreshold,TopRate,IF(E34&gt;=MidThreshold,MidRate,EntryRate))+FoundingBonus,F34)</f>
        <v>0.475</v>
      </c>
      <c r="G35" s="7">
        <f>E35*F35</f>
        <v>2902.3599316873997</v>
      </c>
      <c r="H35" s="7">
        <f>H34+G35</f>
        <v>47358.925795832605</v>
      </c>
    </row>
    <row r="36" spans="1:8">
      <c r="A36" s="10">
        <f>A$5</f>
        <v>2</v>
      </c>
      <c r="B36" s="8">
        <f>B$5</f>
        <v>0.03</v>
      </c>
      <c r="C36">
        <v>32</v>
      </c>
      <c r="D36" s="10">
        <f>D35*(1-B36)+A36</f>
        <v>41.512829947182844</v>
      </c>
      <c r="E36" s="7">
        <f>D36*ClientRevenue</f>
        <v>6226.924492077426</v>
      </c>
      <c r="F36" s="8">
        <f>IF(MOD(C36-1,3)=0,IF(E35&gt;=TopThreshold,TopRate,IF(E35&gt;=MidThreshold,MidRate,EntryRate))+FoundingBonus,F35)</f>
        <v>0.475</v>
      </c>
      <c r="G36" s="7">
        <f>E36*F36</f>
        <v>2957.7891337367773</v>
      </c>
      <c r="H36" s="7">
        <f>H35+G36</f>
        <v>50316.71492956938</v>
      </c>
    </row>
    <row r="37" spans="1:8">
      <c r="A37" s="10">
        <f>A$5</f>
        <v>2</v>
      </c>
      <c r="B37" s="8">
        <f>B$5</f>
        <v>0.03</v>
      </c>
      <c r="C37">
        <v>33</v>
      </c>
      <c r="D37" s="10">
        <f>D36*(1-B37)+A37</f>
        <v>42.26744504876736</v>
      </c>
      <c r="E37" s="7">
        <f>D37*ClientRevenue</f>
        <v>6340.116757315103</v>
      </c>
      <c r="F37" s="8">
        <f>IF(MOD(C37-1,3)=0,IF(E36&gt;=TopThreshold,TopRate,IF(E36&gt;=MidThreshold,MidRate,EntryRate))+FoundingBonus,F36)</f>
        <v>0.475</v>
      </c>
      <c r="G37" s="7">
        <f>E37*F37</f>
        <v>3011.5554597246737</v>
      </c>
      <c r="H37" s="7">
        <f>H36+G37</f>
        <v>53328.270389294055</v>
      </c>
    </row>
    <row r="38" spans="1:8">
      <c r="A38" s="10">
        <f>A$5</f>
        <v>2</v>
      </c>
      <c r="B38" s="8">
        <f>B$5</f>
        <v>0.03</v>
      </c>
      <c r="C38">
        <v>34</v>
      </c>
      <c r="D38" s="10">
        <f>D37*(1-B38)+A38</f>
        <v>42.999421697304335</v>
      </c>
      <c r="E38" s="7">
        <f>D38*ClientRevenue</f>
        <v>6449.91325459565</v>
      </c>
      <c r="F38" s="8">
        <f>IF(MOD(C38-1,3)=0,IF(E37&gt;=TopThreshold,TopRate,IF(E37&gt;=MidThreshold,MidRate,EntryRate))+FoundingBonus,F37)</f>
        <v>0.475</v>
      </c>
      <c r="G38" s="7">
        <f>E38*F38</f>
        <v>3063.7087959329338</v>
      </c>
      <c r="H38" s="7">
        <f>H37+G38</f>
        <v>56391.97918522699</v>
      </c>
    </row>
    <row r="39" spans="1:8">
      <c r="A39" s="10">
        <f>A$5</f>
        <v>2</v>
      </c>
      <c r="B39" s="8">
        <f>B$5</f>
        <v>0.03</v>
      </c>
      <c r="C39">
        <v>35</v>
      </c>
      <c r="D39" s="10">
        <f>D38*(1-B39)+A39</f>
        <v>43.70943904638521</v>
      </c>
      <c r="E39" s="7">
        <f>D39*ClientRevenue</f>
        <v>6556.415856957781</v>
      </c>
      <c r="F39" s="8">
        <f>IF(MOD(C39-1,3)=0,IF(E38&gt;=TopThreshold,TopRate,IF(E38&gt;=MidThreshold,MidRate,EntryRate))+FoundingBonus,F38)</f>
        <v>0.475</v>
      </c>
      <c r="G39" s="7">
        <f>E39*F39</f>
        <v>3114.297532054946</v>
      </c>
      <c r="H39" s="7">
        <f>H38+G39</f>
        <v>59506.27671728194</v>
      </c>
    </row>
    <row r="40" spans="1:8">
      <c r="A40" s="10">
        <f>A$5</f>
        <v>2</v>
      </c>
      <c r="B40" s="8">
        <f>B$5</f>
        <v>0.03</v>
      </c>
      <c r="C40">
        <v>36</v>
      </c>
      <c r="D40" s="10">
        <f>D39*(1-B40)+A40</f>
        <v>44.39815587499365</v>
      </c>
      <c r="E40" s="7">
        <f>D40*ClientRevenue</f>
        <v>6659.723381249048</v>
      </c>
      <c r="F40" s="8">
        <f>IF(MOD(C40-1,3)=0,IF(E39&gt;=TopThreshold,TopRate,IF(E39&gt;=MidThreshold,MidRate,EntryRate))+FoundingBonus,F39)</f>
        <v>0.475</v>
      </c>
      <c r="G40" s="7">
        <f>E40*F40</f>
        <v>3163.3686060932973</v>
      </c>
      <c r="H40" s="7">
        <f>H39+G40</f>
        <v>62669.64532337523</v>
      </c>
    </row>
    <row r="44" spans="1:8">
      <c r="A44" s="6">
        <v>5</v>
      </c>
      <c r="B44" s="5">
        <v>0</v>
      </c>
      <c r="C44">
        <v>1</v>
      </c>
      <c r="D44" s="10">
        <f>A44</f>
        <v>5</v>
      </c>
      <c r="E44" s="7">
        <f>D44*ClientRevenue</f>
        <v>750</v>
      </c>
      <c r="F44" s="8">
        <f>EntryRate+FoundingBonus</f>
        <v>0.35</v>
      </c>
      <c r="G44" s="7">
        <f>E44*F44</f>
        <v>262.5</v>
      </c>
      <c r="H44" s="7">
        <f>G44</f>
        <v>262.5</v>
      </c>
    </row>
    <row r="45" spans="1:8">
      <c r="A45" s="10">
        <f>A$44</f>
        <v>5</v>
      </c>
      <c r="B45" s="8">
        <f>B$44</f>
        <v>0</v>
      </c>
      <c r="C45">
        <v>2</v>
      </c>
      <c r="D45" s="10">
        <f>D44*(1-B45)+A45</f>
        <v>10</v>
      </c>
      <c r="E45" s="7">
        <f>D45*ClientRevenue</f>
        <v>1500</v>
      </c>
      <c r="F45" s="8">
        <f>IF(MOD(C45-1,3)=0,IF(E44&gt;=TopThreshold,TopRate,IF(E44&gt;=MidThreshold,MidRate,EntryRate))+FoundingBonus,F44)</f>
        <v>0.35</v>
      </c>
      <c r="G45" s="7">
        <f>E45*F45</f>
        <v>525.0</v>
      </c>
      <c r="H45" s="7">
        <f>H44+G45</f>
        <v>787.5</v>
      </c>
    </row>
    <row r="46" spans="1:8">
      <c r="A46" s="10">
        <f>A$44</f>
        <v>5</v>
      </c>
      <c r="B46" s="8">
        <f>B$44</f>
        <v>0</v>
      </c>
      <c r="C46">
        <v>3</v>
      </c>
      <c r="D46" s="10">
        <f>D45*(1-B46)+A46</f>
        <v>15</v>
      </c>
      <c r="E46" s="7">
        <f>D46*ClientRevenue</f>
        <v>2250</v>
      </c>
      <c r="F46" s="8">
        <f>IF(MOD(C46-1,3)=0,IF(E45&gt;=TopThreshold,TopRate,IF(E45&gt;=MidThreshold,MidRate,EntryRate))+FoundingBonus,F45)</f>
        <v>0.35</v>
      </c>
      <c r="G46" s="7">
        <f>E46*F46</f>
        <v>787.5</v>
      </c>
      <c r="H46" s="7">
        <f>H45+G46</f>
        <v>1575.0</v>
      </c>
    </row>
    <row r="47" spans="1:8">
      <c r="A47" s="10">
        <f>A$44</f>
        <v>5</v>
      </c>
      <c r="B47" s="8">
        <f>B$44</f>
        <v>0</v>
      </c>
      <c r="C47">
        <v>4</v>
      </c>
      <c r="D47" s="10">
        <f>D46*(1-B47)+A47</f>
        <v>20</v>
      </c>
      <c r="E47" s="7">
        <f>D47*ClientRevenue</f>
        <v>3000</v>
      </c>
      <c r="F47" s="8">
        <f>IF(MOD(C47-1,3)=0,IF(E46&gt;=TopThreshold,TopRate,IF(E46&gt;=MidThreshold,MidRate,EntryRate))+FoundingBonus,F46)</f>
        <v>0.4</v>
      </c>
      <c r="G47" s="7">
        <f>E47*F47</f>
        <v>1200.0</v>
      </c>
      <c r="H47" s="7">
        <f>H46+G47</f>
        <v>2775.0</v>
      </c>
    </row>
    <row r="48" spans="1:8">
      <c r="A48" s="10">
        <f>A$44</f>
        <v>5</v>
      </c>
      <c r="B48" s="8">
        <f>B$44</f>
        <v>0</v>
      </c>
      <c r="C48">
        <v>5</v>
      </c>
      <c r="D48" s="10">
        <f>D47*(1-B48)+A48</f>
        <v>25</v>
      </c>
      <c r="E48" s="7">
        <f>D48*ClientRevenue</f>
        <v>3750</v>
      </c>
      <c r="F48" s="8">
        <f>IF(MOD(C48-1,3)=0,IF(E47&gt;=TopThreshold,TopRate,IF(E47&gt;=MidThreshold,MidRate,EntryRate))+FoundingBonus,F47)</f>
        <v>0.4</v>
      </c>
      <c r="G48" s="7">
        <f>E48*F48</f>
        <v>1500.0</v>
      </c>
      <c r="H48" s="7">
        <f>H47+G48</f>
        <v>4275.0</v>
      </c>
    </row>
    <row r="49" spans="1:8">
      <c r="A49" s="10">
        <f>A$44</f>
        <v>5</v>
      </c>
      <c r="B49" s="8">
        <f>B$44</f>
        <v>0</v>
      </c>
      <c r="C49">
        <v>6</v>
      </c>
      <c r="D49" s="10">
        <f>D48*(1-B49)+A49</f>
        <v>30</v>
      </c>
      <c r="E49" s="7">
        <f>D49*ClientRevenue</f>
        <v>4500</v>
      </c>
      <c r="F49" s="8">
        <f>IF(MOD(C49-1,3)=0,IF(E48&gt;=TopThreshold,TopRate,IF(E48&gt;=MidThreshold,MidRate,EntryRate))+FoundingBonus,F48)</f>
        <v>0.4</v>
      </c>
      <c r="G49" s="7">
        <f>E49*F49</f>
        <v>1800.0</v>
      </c>
      <c r="H49" s="7">
        <f>H48+G49</f>
        <v>6075.0</v>
      </c>
    </row>
    <row r="50" spans="1:8">
      <c r="A50" s="10">
        <f>A$44</f>
        <v>5</v>
      </c>
      <c r="B50" s="8">
        <f>B$44</f>
        <v>0</v>
      </c>
      <c r="C50">
        <v>7</v>
      </c>
      <c r="D50" s="10">
        <f>D49*(1-B50)+A50</f>
        <v>35</v>
      </c>
      <c r="E50" s="7">
        <f>D50*ClientRevenue</f>
        <v>5250</v>
      </c>
      <c r="F50" s="8">
        <f>IF(MOD(C50-1,3)=0,IF(E49&gt;=TopThreshold,TopRate,IF(E49&gt;=MidThreshold,MidRate,EntryRate))+FoundingBonus,F49)</f>
        <v>0.4</v>
      </c>
      <c r="G50" s="7">
        <f>E50*F50</f>
        <v>2100.0</v>
      </c>
      <c r="H50" s="7">
        <f>H49+G50</f>
        <v>8175.0</v>
      </c>
    </row>
    <row r="51" spans="1:8">
      <c r="A51" s="10">
        <f>A$44</f>
        <v>5</v>
      </c>
      <c r="B51" s="8">
        <f>B$44</f>
        <v>0</v>
      </c>
      <c r="C51">
        <v>8</v>
      </c>
      <c r="D51" s="10">
        <f>D50*(1-B51)+A51</f>
        <v>40</v>
      </c>
      <c r="E51" s="7">
        <f>D51*ClientRevenue</f>
        <v>6000</v>
      </c>
      <c r="F51" s="8">
        <f>IF(MOD(C51-1,3)=0,IF(E50&gt;=TopThreshold,TopRate,IF(E50&gt;=MidThreshold,MidRate,EntryRate))+FoundingBonus,F50)</f>
        <v>0.4</v>
      </c>
      <c r="G51" s="7">
        <f>E51*F51</f>
        <v>2400.0</v>
      </c>
      <c r="H51" s="7">
        <f>H50+G51</f>
        <v>10575.0</v>
      </c>
    </row>
    <row r="52" spans="1:8">
      <c r="A52" s="10">
        <f>A$44</f>
        <v>5</v>
      </c>
      <c r="B52" s="8">
        <f>B$44</f>
        <v>0</v>
      </c>
      <c r="C52">
        <v>9</v>
      </c>
      <c r="D52" s="10">
        <f>D51*(1-B52)+A52</f>
        <v>45</v>
      </c>
      <c r="E52" s="7">
        <f>D52*ClientRevenue</f>
        <v>6750</v>
      </c>
      <c r="F52" s="8">
        <f>IF(MOD(C52-1,3)=0,IF(E51&gt;=TopThreshold,TopRate,IF(E51&gt;=MidThreshold,MidRate,EntryRate))+FoundingBonus,F51)</f>
        <v>0.4</v>
      </c>
      <c r="G52" s="7">
        <f>E52*F52</f>
        <v>2700.0</v>
      </c>
      <c r="H52" s="7">
        <f>H51+G52</f>
        <v>13275.0</v>
      </c>
    </row>
    <row r="53" spans="1:8">
      <c r="A53" s="10">
        <f>A$44</f>
        <v>5</v>
      </c>
      <c r="B53" s="8">
        <f>B$44</f>
        <v>0</v>
      </c>
      <c r="C53">
        <v>10</v>
      </c>
      <c r="D53" s="10">
        <f>D52*(1-B53)+A53</f>
        <v>50</v>
      </c>
      <c r="E53" s="7">
        <f>D53*ClientRevenue</f>
        <v>7500</v>
      </c>
      <c r="F53" s="8">
        <f>IF(MOD(C53-1,3)=0,IF(E52&gt;=TopThreshold,TopRate,IF(E52&gt;=MidThreshold,MidRate,EntryRate))+FoundingBonus,F52)</f>
        <v>0.475</v>
      </c>
      <c r="G53" s="7">
        <f>E53*F53</f>
        <v>3562.5</v>
      </c>
      <c r="H53" s="7">
        <f>H52+G53</f>
        <v>16837.5</v>
      </c>
    </row>
    <row r="54" spans="1:8">
      <c r="A54" s="10">
        <f>A$44</f>
        <v>5</v>
      </c>
      <c r="B54" s="8">
        <f>B$44</f>
        <v>0</v>
      </c>
      <c r="C54">
        <v>11</v>
      </c>
      <c r="D54" s="10">
        <f>D53*(1-B54)+A54</f>
        <v>55</v>
      </c>
      <c r="E54" s="7">
        <f>D54*ClientRevenue</f>
        <v>8250</v>
      </c>
      <c r="F54" s="8">
        <f>IF(MOD(C54-1,3)=0,IF(E53&gt;=TopThreshold,TopRate,IF(E53&gt;=MidThreshold,MidRate,EntryRate))+FoundingBonus,F53)</f>
        <v>0.475</v>
      </c>
      <c r="G54" s="7">
        <f>E54*F54</f>
        <v>3918.75</v>
      </c>
      <c r="H54" s="7">
        <f>H53+G54</f>
        <v>20756.25</v>
      </c>
    </row>
    <row r="55" spans="1:8">
      <c r="A55" s="10">
        <f>A$44</f>
        <v>5</v>
      </c>
      <c r="B55" s="8">
        <f>B$44</f>
        <v>0</v>
      </c>
      <c r="C55">
        <v>12</v>
      </c>
      <c r="D55" s="10">
        <f>D54*(1-B55)+A55</f>
        <v>60</v>
      </c>
      <c r="E55" s="7">
        <f>D55*ClientRevenue</f>
        <v>9000</v>
      </c>
      <c r="F55" s="8">
        <f>IF(MOD(C55-1,3)=0,IF(E54&gt;=TopThreshold,TopRate,IF(E54&gt;=MidThreshold,MidRate,EntryRate))+FoundingBonus,F54)</f>
        <v>0.475</v>
      </c>
      <c r="G55" s="7">
        <f>E55*F55</f>
        <v>4275.0</v>
      </c>
      <c r="H55" s="7">
        <f>H54+G55</f>
        <v>25031.25</v>
      </c>
    </row>
    <row r="56" spans="1:8">
      <c r="A56" s="10">
        <f>A$44</f>
        <v>5</v>
      </c>
      <c r="B56" s="8">
        <f>B$44</f>
        <v>0</v>
      </c>
      <c r="C56">
        <v>13</v>
      </c>
      <c r="D56" s="10">
        <f>D55*(1-B56)+A56</f>
        <v>65</v>
      </c>
      <c r="E56" s="7">
        <f>D56*ClientRevenue</f>
        <v>9750</v>
      </c>
      <c r="F56" s="8">
        <f>IF(MOD(C56-1,3)=0,IF(E55&gt;=TopThreshold,TopRate,IF(E55&gt;=MidThreshold,MidRate,EntryRate))+FoundingBonus,F55)</f>
        <v>0.475</v>
      </c>
      <c r="G56" s="7">
        <f>E56*F56</f>
        <v>4631.25</v>
      </c>
      <c r="H56" s="7">
        <f>H55+G56</f>
        <v>29662.5</v>
      </c>
    </row>
    <row r="57" spans="1:8">
      <c r="A57" s="10">
        <f>A$44</f>
        <v>5</v>
      </c>
      <c r="B57" s="8">
        <f>B$44</f>
        <v>0</v>
      </c>
      <c r="C57">
        <v>14</v>
      </c>
      <c r="D57" s="10">
        <f>D56*(1-B57)+A57</f>
        <v>70</v>
      </c>
      <c r="E57" s="7">
        <f>D57*ClientRevenue</f>
        <v>10500</v>
      </c>
      <c r="F57" s="8">
        <f>IF(MOD(C57-1,3)=0,IF(E56&gt;=TopThreshold,TopRate,IF(E56&gt;=MidThreshold,MidRate,EntryRate))+FoundingBonus,F56)</f>
        <v>0.475</v>
      </c>
      <c r="G57" s="7">
        <f>E57*F57</f>
        <v>4987.5</v>
      </c>
      <c r="H57" s="7">
        <f>H56+G57</f>
        <v>34650.0</v>
      </c>
    </row>
    <row r="58" spans="1:8">
      <c r="A58" s="10">
        <f>A$44</f>
        <v>5</v>
      </c>
      <c r="B58" s="8">
        <f>B$44</f>
        <v>0</v>
      </c>
      <c r="C58">
        <v>15</v>
      </c>
      <c r="D58" s="10">
        <f>D57*(1-B58)+A58</f>
        <v>75</v>
      </c>
      <c r="E58" s="7">
        <f>D58*ClientRevenue</f>
        <v>11250</v>
      </c>
      <c r="F58" s="8">
        <f>IF(MOD(C58-1,3)=0,IF(E57&gt;=TopThreshold,TopRate,IF(E57&gt;=MidThreshold,MidRate,EntryRate))+FoundingBonus,F57)</f>
        <v>0.475</v>
      </c>
      <c r="G58" s="7">
        <f>E58*F58</f>
        <v>5343.75</v>
      </c>
      <c r="H58" s="7">
        <f>H57+G58</f>
        <v>39993.75</v>
      </c>
    </row>
    <row r="59" spans="1:8">
      <c r="A59" s="10">
        <f>A$44</f>
        <v>5</v>
      </c>
      <c r="B59" s="8">
        <f>B$44</f>
        <v>0</v>
      </c>
      <c r="C59">
        <v>16</v>
      </c>
      <c r="D59" s="10">
        <f>D58*(1-B59)+A59</f>
        <v>80</v>
      </c>
      <c r="E59" s="7">
        <f>D59*ClientRevenue</f>
        <v>12000</v>
      </c>
      <c r="F59" s="8">
        <f>IF(MOD(C59-1,3)=0,IF(E58&gt;=TopThreshold,TopRate,IF(E58&gt;=MidThreshold,MidRate,EntryRate))+FoundingBonus,F58)</f>
        <v>0.475</v>
      </c>
      <c r="G59" s="7">
        <f>E59*F59</f>
        <v>5700.0</v>
      </c>
      <c r="H59" s="7">
        <f>H58+G59</f>
        <v>45693.75</v>
      </c>
    </row>
    <row r="60" spans="1:8">
      <c r="A60" s="10">
        <f>A$44</f>
        <v>5</v>
      </c>
      <c r="B60" s="8">
        <f>B$44</f>
        <v>0</v>
      </c>
      <c r="C60">
        <v>17</v>
      </c>
      <c r="D60" s="10">
        <f>D59*(1-B60)+A60</f>
        <v>85</v>
      </c>
      <c r="E60" s="7">
        <f>D60*ClientRevenue</f>
        <v>12750</v>
      </c>
      <c r="F60" s="8">
        <f>IF(MOD(C60-1,3)=0,IF(E59&gt;=TopThreshold,TopRate,IF(E59&gt;=MidThreshold,MidRate,EntryRate))+FoundingBonus,F59)</f>
        <v>0.475</v>
      </c>
      <c r="G60" s="7">
        <f>E60*F60</f>
        <v>6056.25</v>
      </c>
      <c r="H60" s="7">
        <f>H59+G60</f>
        <v>51750.0</v>
      </c>
    </row>
    <row r="61" spans="1:8">
      <c r="A61" s="10">
        <f>A$44</f>
        <v>5</v>
      </c>
      <c r="B61" s="8">
        <f>B$44</f>
        <v>0</v>
      </c>
      <c r="C61">
        <v>18</v>
      </c>
      <c r="D61" s="10">
        <f>D60*(1-B61)+A61</f>
        <v>90</v>
      </c>
      <c r="E61" s="7">
        <f>D61*ClientRevenue</f>
        <v>13500</v>
      </c>
      <c r="F61" s="8">
        <f>IF(MOD(C61-1,3)=0,IF(E60&gt;=TopThreshold,TopRate,IF(E60&gt;=MidThreshold,MidRate,EntryRate))+FoundingBonus,F60)</f>
        <v>0.475</v>
      </c>
      <c r="G61" s="7">
        <f>E61*F61</f>
        <v>6412.5</v>
      </c>
      <c r="H61" s="7">
        <f>H60+G61</f>
        <v>58162.5</v>
      </c>
    </row>
    <row r="62" spans="1:8">
      <c r="A62" s="10">
        <f>A$44</f>
        <v>5</v>
      </c>
      <c r="B62" s="8">
        <f>B$44</f>
        <v>0</v>
      </c>
      <c r="C62">
        <v>19</v>
      </c>
      <c r="D62" s="10">
        <f>D61*(1-B62)+A62</f>
        <v>95</v>
      </c>
      <c r="E62" s="7">
        <f>D62*ClientRevenue</f>
        <v>14250</v>
      </c>
      <c r="F62" s="8">
        <f>IF(MOD(C62-1,3)=0,IF(E61&gt;=TopThreshold,TopRate,IF(E61&gt;=MidThreshold,MidRate,EntryRate))+FoundingBonus,F61)</f>
        <v>0.475</v>
      </c>
      <c r="G62" s="7">
        <f>E62*F62</f>
        <v>6768.75</v>
      </c>
      <c r="H62" s="7">
        <f>H61+G62</f>
        <v>64931.25</v>
      </c>
    </row>
    <row r="63" spans="1:8">
      <c r="A63" s="10">
        <f>A$44</f>
        <v>5</v>
      </c>
      <c r="B63" s="8">
        <f>B$44</f>
        <v>0</v>
      </c>
      <c r="C63">
        <v>20</v>
      </c>
      <c r="D63" s="10">
        <f>D62*(1-B63)+A63</f>
        <v>100</v>
      </c>
      <c r="E63" s="7">
        <f>D63*ClientRevenue</f>
        <v>15000</v>
      </c>
      <c r="F63" s="8">
        <f>IF(MOD(C63-1,3)=0,IF(E62&gt;=TopThreshold,TopRate,IF(E62&gt;=MidThreshold,MidRate,EntryRate))+FoundingBonus,F62)</f>
        <v>0.475</v>
      </c>
      <c r="G63" s="7">
        <f>E63*F63</f>
        <v>7125.0</v>
      </c>
      <c r="H63" s="7">
        <f>H62+G63</f>
        <v>72056.25</v>
      </c>
    </row>
    <row r="64" spans="1:8">
      <c r="A64" s="10">
        <f>A$44</f>
        <v>5</v>
      </c>
      <c r="B64" s="8">
        <f>B$44</f>
        <v>0</v>
      </c>
      <c r="C64">
        <v>21</v>
      </c>
      <c r="D64" s="10">
        <f>D63*(1-B64)+A64</f>
        <v>105</v>
      </c>
      <c r="E64" s="7">
        <f>D64*ClientRevenue</f>
        <v>15750</v>
      </c>
      <c r="F64" s="8">
        <f>IF(MOD(C64-1,3)=0,IF(E63&gt;=TopThreshold,TopRate,IF(E63&gt;=MidThreshold,MidRate,EntryRate))+FoundingBonus,F63)</f>
        <v>0.475</v>
      </c>
      <c r="G64" s="7">
        <f>E64*F64</f>
        <v>7481.25</v>
      </c>
      <c r="H64" s="7">
        <f>H63+G64</f>
        <v>79537.5</v>
      </c>
    </row>
    <row r="65" spans="1:8">
      <c r="A65" s="10">
        <f>A$44</f>
        <v>5</v>
      </c>
      <c r="B65" s="8">
        <f>B$44</f>
        <v>0</v>
      </c>
      <c r="C65">
        <v>22</v>
      </c>
      <c r="D65" s="10">
        <f>D64*(1-B65)+A65</f>
        <v>110</v>
      </c>
      <c r="E65" s="7">
        <f>D65*ClientRevenue</f>
        <v>16500</v>
      </c>
      <c r="F65" s="8">
        <f>IF(MOD(C65-1,3)=0,IF(E64&gt;=TopThreshold,TopRate,IF(E64&gt;=MidThreshold,MidRate,EntryRate))+FoundingBonus,F64)</f>
        <v>0.475</v>
      </c>
      <c r="G65" s="7">
        <f>E65*F65</f>
        <v>7837.5</v>
      </c>
      <c r="H65" s="7">
        <f>H64+G65</f>
        <v>87375.0</v>
      </c>
    </row>
    <row r="66" spans="1:8">
      <c r="A66" s="10">
        <f>A$44</f>
        <v>5</v>
      </c>
      <c r="B66" s="8">
        <f>B$44</f>
        <v>0</v>
      </c>
      <c r="C66">
        <v>23</v>
      </c>
      <c r="D66" s="10">
        <f>D65*(1-B66)+A66</f>
        <v>115</v>
      </c>
      <c r="E66" s="7">
        <f>D66*ClientRevenue</f>
        <v>17250</v>
      </c>
      <c r="F66" s="8">
        <f>IF(MOD(C66-1,3)=0,IF(E65&gt;=TopThreshold,TopRate,IF(E65&gt;=MidThreshold,MidRate,EntryRate))+FoundingBonus,F65)</f>
        <v>0.475</v>
      </c>
      <c r="G66" s="7">
        <f>E66*F66</f>
        <v>8193.75</v>
      </c>
      <c r="H66" s="7">
        <f>H65+G66</f>
        <v>95568.75</v>
      </c>
    </row>
    <row r="67" spans="1:8">
      <c r="A67" s="10">
        <f>A$44</f>
        <v>5</v>
      </c>
      <c r="B67" s="8">
        <f>B$44</f>
        <v>0</v>
      </c>
      <c r="C67">
        <v>24</v>
      </c>
      <c r="D67" s="10">
        <f>D66*(1-B67)+A67</f>
        <v>120</v>
      </c>
      <c r="E67" s="7">
        <f>D67*ClientRevenue</f>
        <v>18000</v>
      </c>
      <c r="F67" s="8">
        <f>IF(MOD(C67-1,3)=0,IF(E66&gt;=TopThreshold,TopRate,IF(E66&gt;=MidThreshold,MidRate,EntryRate))+FoundingBonus,F66)</f>
        <v>0.475</v>
      </c>
      <c r="G67" s="7">
        <f>E67*F67</f>
        <v>8550.0</v>
      </c>
      <c r="H67" s="7">
        <f>H66+G67</f>
        <v>104118.75</v>
      </c>
    </row>
    <row r="68" spans="1:8">
      <c r="A68" s="10">
        <f>A$44</f>
        <v>5</v>
      </c>
      <c r="B68" s="8">
        <f>B$44</f>
        <v>0</v>
      </c>
      <c r="C68">
        <v>25</v>
      </c>
      <c r="D68" s="10">
        <f>D67*(1-B68)+A68</f>
        <v>125</v>
      </c>
      <c r="E68" s="7">
        <f>D68*ClientRevenue</f>
        <v>18750</v>
      </c>
      <c r="F68" s="8">
        <f>IF(MOD(C68-1,3)=0,IF(E67&gt;=TopThreshold,TopRate,IF(E67&gt;=MidThreshold,MidRate,EntryRate))+FoundingBonus,F67)</f>
        <v>0.475</v>
      </c>
      <c r="G68" s="7">
        <f>E68*F68</f>
        <v>8906.25</v>
      </c>
      <c r="H68" s="7">
        <f>H67+G68</f>
        <v>113025.0</v>
      </c>
    </row>
    <row r="69" spans="1:8">
      <c r="A69" s="10">
        <f>A$44</f>
        <v>5</v>
      </c>
      <c r="B69" s="8">
        <f>B$44</f>
        <v>0</v>
      </c>
      <c r="C69">
        <v>26</v>
      </c>
      <c r="D69" s="10">
        <f>D68*(1-B69)+A69</f>
        <v>130</v>
      </c>
      <c r="E69" s="7">
        <f>D69*ClientRevenue</f>
        <v>19500</v>
      </c>
      <c r="F69" s="8">
        <f>IF(MOD(C69-1,3)=0,IF(E68&gt;=TopThreshold,TopRate,IF(E68&gt;=MidThreshold,MidRate,EntryRate))+FoundingBonus,F68)</f>
        <v>0.475</v>
      </c>
      <c r="G69" s="7">
        <f>E69*F69</f>
        <v>9262.5</v>
      </c>
      <c r="H69" s="7">
        <f>H68+G69</f>
        <v>122287.5</v>
      </c>
    </row>
    <row r="70" spans="1:8">
      <c r="A70" s="10">
        <f>A$44</f>
        <v>5</v>
      </c>
      <c r="B70" s="8">
        <f>B$44</f>
        <v>0</v>
      </c>
      <c r="C70">
        <v>27</v>
      </c>
      <c r="D70" s="10">
        <f>D69*(1-B70)+A70</f>
        <v>135</v>
      </c>
      <c r="E70" s="7">
        <f>D70*ClientRevenue</f>
        <v>20250</v>
      </c>
      <c r="F70" s="8">
        <f>IF(MOD(C70-1,3)=0,IF(E69&gt;=TopThreshold,TopRate,IF(E69&gt;=MidThreshold,MidRate,EntryRate))+FoundingBonus,F69)</f>
        <v>0.475</v>
      </c>
      <c r="G70" s="7">
        <f>E70*F70</f>
        <v>9618.75</v>
      </c>
      <c r="H70" s="7">
        <f>H69+G70</f>
        <v>131906.25</v>
      </c>
    </row>
    <row r="71" spans="1:8">
      <c r="A71" s="10">
        <f>A$44</f>
        <v>5</v>
      </c>
      <c r="B71" s="8">
        <f>B$44</f>
        <v>0</v>
      </c>
      <c r="C71">
        <v>28</v>
      </c>
      <c r="D71" s="10">
        <f>D70*(1-B71)+A71</f>
        <v>140</v>
      </c>
      <c r="E71" s="7">
        <f>D71*ClientRevenue</f>
        <v>21000</v>
      </c>
      <c r="F71" s="8">
        <f>IF(MOD(C71-1,3)=0,IF(E70&gt;=TopThreshold,TopRate,IF(E70&gt;=MidThreshold,MidRate,EntryRate))+FoundingBonus,F70)</f>
        <v>0.475</v>
      </c>
      <c r="G71" s="7">
        <f>E71*F71</f>
        <v>9975.0</v>
      </c>
      <c r="H71" s="7">
        <f>H70+G71</f>
        <v>141881.25</v>
      </c>
    </row>
    <row r="72" spans="1:8">
      <c r="A72" s="10">
        <f>A$44</f>
        <v>5</v>
      </c>
      <c r="B72" s="8">
        <f>B$44</f>
        <v>0</v>
      </c>
      <c r="C72">
        <v>29</v>
      </c>
      <c r="D72" s="10">
        <f>D71*(1-B72)+A72</f>
        <v>145</v>
      </c>
      <c r="E72" s="7">
        <f>D72*ClientRevenue</f>
        <v>21750</v>
      </c>
      <c r="F72" s="8">
        <f>IF(MOD(C72-1,3)=0,IF(E71&gt;=TopThreshold,TopRate,IF(E71&gt;=MidThreshold,MidRate,EntryRate))+FoundingBonus,F71)</f>
        <v>0.475</v>
      </c>
      <c r="G72" s="7">
        <f>E72*F72</f>
        <v>10331.25</v>
      </c>
      <c r="H72" s="7">
        <f>H71+G72</f>
        <v>152212.5</v>
      </c>
    </row>
    <row r="73" spans="1:8">
      <c r="A73" s="10">
        <f>A$44</f>
        <v>5</v>
      </c>
      <c r="B73" s="8">
        <f>B$44</f>
        <v>0</v>
      </c>
      <c r="C73">
        <v>30</v>
      </c>
      <c r="D73" s="10">
        <f>D72*(1-B73)+A73</f>
        <v>150</v>
      </c>
      <c r="E73" s="7">
        <f>D73*ClientRevenue</f>
        <v>22500</v>
      </c>
      <c r="F73" s="8">
        <f>IF(MOD(C73-1,3)=0,IF(E72&gt;=TopThreshold,TopRate,IF(E72&gt;=MidThreshold,MidRate,EntryRate))+FoundingBonus,F72)</f>
        <v>0.475</v>
      </c>
      <c r="G73" s="7">
        <f>E73*F73</f>
        <v>10687.5</v>
      </c>
      <c r="H73" s="7">
        <f>H72+G73</f>
        <v>162900.0</v>
      </c>
    </row>
    <row r="74" spans="1:8">
      <c r="A74" s="10">
        <f>A$44</f>
        <v>5</v>
      </c>
      <c r="B74" s="8">
        <f>B$44</f>
        <v>0</v>
      </c>
      <c r="C74">
        <v>31</v>
      </c>
      <c r="D74" s="10">
        <f>D73*(1-B74)+A74</f>
        <v>155</v>
      </c>
      <c r="E74" s="7">
        <f>D74*ClientRevenue</f>
        <v>23250</v>
      </c>
      <c r="F74" s="8">
        <f>IF(MOD(C74-1,3)=0,IF(E73&gt;=TopThreshold,TopRate,IF(E73&gt;=MidThreshold,MidRate,EntryRate))+FoundingBonus,F73)</f>
        <v>0.475</v>
      </c>
      <c r="G74" s="7">
        <f>E74*F74</f>
        <v>11043.75</v>
      </c>
      <c r="H74" s="7">
        <f>H73+G74</f>
        <v>173943.75</v>
      </c>
    </row>
    <row r="75" spans="1:8">
      <c r="A75" s="10">
        <f>A$44</f>
        <v>5</v>
      </c>
      <c r="B75" s="8">
        <f>B$44</f>
        <v>0</v>
      </c>
      <c r="C75">
        <v>32</v>
      </c>
      <c r="D75" s="10">
        <f>D74*(1-B75)+A75</f>
        <v>160</v>
      </c>
      <c r="E75" s="7">
        <f>D75*ClientRevenue</f>
        <v>24000</v>
      </c>
      <c r="F75" s="8">
        <f>IF(MOD(C75-1,3)=0,IF(E74&gt;=TopThreshold,TopRate,IF(E74&gt;=MidThreshold,MidRate,EntryRate))+FoundingBonus,F74)</f>
        <v>0.475</v>
      </c>
      <c r="G75" s="7">
        <f>E75*F75</f>
        <v>11400.0</v>
      </c>
      <c r="H75" s="7">
        <f>H74+G75</f>
        <v>185343.75</v>
      </c>
    </row>
    <row r="76" spans="1:8">
      <c r="A76" s="10">
        <f>A$44</f>
        <v>5</v>
      </c>
      <c r="B76" s="8">
        <f>B$44</f>
        <v>0</v>
      </c>
      <c r="C76">
        <v>33</v>
      </c>
      <c r="D76" s="10">
        <f>D75*(1-B76)+A76</f>
        <v>165</v>
      </c>
      <c r="E76" s="7">
        <f>D76*ClientRevenue</f>
        <v>24750</v>
      </c>
      <c r="F76" s="8">
        <f>IF(MOD(C76-1,3)=0,IF(E75&gt;=TopThreshold,TopRate,IF(E75&gt;=MidThreshold,MidRate,EntryRate))+FoundingBonus,F75)</f>
        <v>0.475</v>
      </c>
      <c r="G76" s="7">
        <f>E76*F76</f>
        <v>11756.25</v>
      </c>
      <c r="H76" s="7">
        <f>H75+G76</f>
        <v>197100.0</v>
      </c>
    </row>
    <row r="77" spans="1:8">
      <c r="A77" s="10">
        <f>A$44</f>
        <v>5</v>
      </c>
      <c r="B77" s="8">
        <f>B$44</f>
        <v>0</v>
      </c>
      <c r="C77">
        <v>34</v>
      </c>
      <c r="D77" s="10">
        <f>D76*(1-B77)+A77</f>
        <v>170</v>
      </c>
      <c r="E77" s="7">
        <f>D77*ClientRevenue</f>
        <v>25500</v>
      </c>
      <c r="F77" s="8">
        <f>IF(MOD(C77-1,3)=0,IF(E76&gt;=TopThreshold,TopRate,IF(E76&gt;=MidThreshold,MidRate,EntryRate))+FoundingBonus,F76)</f>
        <v>0.475</v>
      </c>
      <c r="G77" s="7">
        <f>E77*F77</f>
        <v>12112.5</v>
      </c>
      <c r="H77" s="7">
        <f>H76+G77</f>
        <v>209212.5</v>
      </c>
    </row>
    <row r="78" spans="1:8">
      <c r="A78" s="10">
        <f>A$44</f>
        <v>5</v>
      </c>
      <c r="B78" s="8">
        <f>B$44</f>
        <v>0</v>
      </c>
      <c r="C78">
        <v>35</v>
      </c>
      <c r="D78" s="10">
        <f>D77*(1-B78)+A78</f>
        <v>175</v>
      </c>
      <c r="E78" s="7">
        <f>D78*ClientRevenue</f>
        <v>26250</v>
      </c>
      <c r="F78" s="8">
        <f>IF(MOD(C78-1,3)=0,IF(E77&gt;=TopThreshold,TopRate,IF(E77&gt;=MidThreshold,MidRate,EntryRate))+FoundingBonus,F77)</f>
        <v>0.475</v>
      </c>
      <c r="G78" s="7">
        <f>E78*F78</f>
        <v>12468.75</v>
      </c>
      <c r="H78" s="7">
        <f>H77+G78</f>
        <v>221681.25</v>
      </c>
    </row>
    <row r="79" spans="1:8">
      <c r="A79" s="10">
        <f>A$44</f>
        <v>5</v>
      </c>
      <c r="B79" s="8">
        <f>B$44</f>
        <v>0</v>
      </c>
      <c r="C79">
        <v>36</v>
      </c>
      <c r="D79" s="10">
        <f>D78*(1-B79)+A79</f>
        <v>180</v>
      </c>
      <c r="E79" s="7">
        <f>D79*ClientRevenue</f>
        <v>27000</v>
      </c>
      <c r="F79" s="8">
        <f>IF(MOD(C79-1,3)=0,IF(E78&gt;=TopThreshold,TopRate,IF(E78&gt;=MidThreshold,MidRate,EntryRate))+FoundingBonus,F78)</f>
        <v>0.475</v>
      </c>
      <c r="G79" s="7">
        <f>E79*F79</f>
        <v>12825.0</v>
      </c>
      <c r="H79" s="7">
        <f>H78+G79</f>
        <v>234506.25</v>
      </c>
    </row>
    <row r="83" spans="1:8">
      <c r="A83" s="6">
        <v>5</v>
      </c>
      <c r="B83" s="5">
        <v>0.03</v>
      </c>
      <c r="C83">
        <v>1</v>
      </c>
      <c r="D83" s="10">
        <f>A83</f>
        <v>5.0</v>
      </c>
      <c r="E83" s="7">
        <f>D83*ClientRevenue</f>
        <v>750.0</v>
      </c>
      <c r="F83" s="8">
        <f>EntryRate+FoundingBonus</f>
        <v>0.35</v>
      </c>
      <c r="G83" s="7">
        <f>E83*F83</f>
        <v>262.5</v>
      </c>
      <c r="H83" s="7">
        <f>G83</f>
        <v>262.5</v>
      </c>
    </row>
    <row r="84" spans="1:8">
      <c r="A84" s="10">
        <f>A$83</f>
        <v>5</v>
      </c>
      <c r="B84" s="8">
        <f>B$83</f>
        <v>0.03</v>
      </c>
      <c r="C84">
        <v>2</v>
      </c>
      <c r="D84" s="10">
        <f>D83*(1-B84)+A84</f>
        <v>9.85</v>
      </c>
      <c r="E84" s="7">
        <f>D84*ClientRevenue</f>
        <v>1477.5</v>
      </c>
      <c r="F84" s="8">
        <f>IF(MOD(C84-1,3)=0,IF(E83&gt;=TopThreshold,TopRate,IF(E83&gt;=MidThreshold,MidRate,EntryRate))+FoundingBonus,F83)</f>
        <v>0.35</v>
      </c>
      <c r="G84" s="7">
        <f>E84*F84</f>
        <v>517.125</v>
      </c>
      <c r="H84" s="7">
        <f>H83+G84</f>
        <v>779.625</v>
      </c>
    </row>
    <row r="85" spans="1:8">
      <c r="A85" s="10">
        <f>A$83</f>
        <v>5</v>
      </c>
      <c r="B85" s="8">
        <f>B$83</f>
        <v>0.03</v>
      </c>
      <c r="C85">
        <v>3</v>
      </c>
      <c r="D85" s="10">
        <f>D84*(1-B85)+A85</f>
        <v>14.554499999999999</v>
      </c>
      <c r="E85" s="7">
        <f>D85*ClientRevenue</f>
        <v>2183.1749999999997</v>
      </c>
      <c r="F85" s="8">
        <f>IF(MOD(C85-1,3)=0,IF(E84&gt;=TopThreshold,TopRate,IF(E84&gt;=MidThreshold,MidRate,EntryRate))+FoundingBonus,F84)</f>
        <v>0.35</v>
      </c>
      <c r="G85" s="7">
        <f>E85*F85</f>
        <v>764.1112499999998</v>
      </c>
      <c r="H85" s="7">
        <f>H84+G85</f>
        <v>1543.73625</v>
      </c>
    </row>
    <row r="86" spans="1:8">
      <c r="A86" s="10">
        <f>A$83</f>
        <v>5</v>
      </c>
      <c r="B86" s="8">
        <f>B$83</f>
        <v>0.03</v>
      </c>
      <c r="C86">
        <v>4</v>
      </c>
      <c r="D86" s="10">
        <f>D85*(1-B86)+A86</f>
        <v>19.117865</v>
      </c>
      <c r="E86" s="7">
        <f>D86*ClientRevenue</f>
        <v>2867.67975</v>
      </c>
      <c r="F86" s="8">
        <f>IF(MOD(C86-1,3)=0,IF(E85&gt;=TopThreshold,TopRate,IF(E85&gt;=MidThreshold,MidRate,EntryRate))+FoundingBonus,F85)</f>
        <v>0.35</v>
      </c>
      <c r="G86" s="7">
        <f>E86*F86</f>
        <v>1003.6879124999998</v>
      </c>
      <c r="H86" s="7">
        <f>H85+G86</f>
        <v>2547.4241624999995</v>
      </c>
    </row>
    <row r="87" spans="1:8">
      <c r="A87" s="10">
        <f>A$83</f>
        <v>5</v>
      </c>
      <c r="B87" s="8">
        <f>B$83</f>
        <v>0.03</v>
      </c>
      <c r="C87">
        <v>5</v>
      </c>
      <c r="D87" s="10">
        <f>D86*(1-B87)+A87</f>
        <v>23.544329049999998</v>
      </c>
      <c r="E87" s="7">
        <f>D87*ClientRevenue</f>
        <v>3531.6493575</v>
      </c>
      <c r="F87" s="8">
        <f>IF(MOD(C87-1,3)=0,IF(E86&gt;=TopThreshold,TopRate,IF(E86&gt;=MidThreshold,MidRate,EntryRate))+FoundingBonus,F86)</f>
        <v>0.35</v>
      </c>
      <c r="G87" s="7">
        <f>E87*F87</f>
        <v>1236.077275125</v>
      </c>
      <c r="H87" s="7">
        <f>H86+G87</f>
        <v>3783.501437624999</v>
      </c>
    </row>
    <row r="88" spans="1:8">
      <c r="A88" s="10">
        <f>A$83</f>
        <v>5</v>
      </c>
      <c r="B88" s="8">
        <f>B$83</f>
        <v>0.03</v>
      </c>
      <c r="C88">
        <v>6</v>
      </c>
      <c r="D88" s="10">
        <f>D87*(1-B88)+A88</f>
        <v>27.8379991785</v>
      </c>
      <c r="E88" s="7">
        <f>D88*ClientRevenue</f>
        <v>4175.699876775</v>
      </c>
      <c r="F88" s="8">
        <f>IF(MOD(C88-1,3)=0,IF(E87&gt;=TopThreshold,TopRate,IF(E87&gt;=MidThreshold,MidRate,EntryRate))+FoundingBonus,F87)</f>
        <v>0.35</v>
      </c>
      <c r="G88" s="7">
        <f>E88*F88</f>
        <v>1461.49495687125</v>
      </c>
      <c r="H88" s="7">
        <f>H87+G88</f>
        <v>5244.996394496249</v>
      </c>
    </row>
    <row r="89" spans="1:8">
      <c r="A89" s="10">
        <f>A$83</f>
        <v>5</v>
      </c>
      <c r="B89" s="8">
        <f>B$83</f>
        <v>0.03</v>
      </c>
      <c r="C89">
        <v>7</v>
      </c>
      <c r="D89" s="10">
        <f>D88*(1-B89)+A89</f>
        <v>32.00285920314499</v>
      </c>
      <c r="E89" s="7">
        <f>D89*ClientRevenue</f>
        <v>4800.428880471749</v>
      </c>
      <c r="F89" s="8">
        <f>IF(MOD(C89-1,3)=0,IF(E88&gt;=TopThreshold,TopRate,IF(E88&gt;=MidThreshold,MidRate,EntryRate))+FoundingBonus,F88)</f>
        <v>0.4</v>
      </c>
      <c r="G89" s="7">
        <f>E89*F89</f>
        <v>1920.1715521886997</v>
      </c>
      <c r="H89" s="7">
        <f>H88+G89</f>
        <v>7165.167946684949</v>
      </c>
    </row>
    <row r="90" spans="1:8">
      <c r="A90" s="10">
        <f>A$83</f>
        <v>5</v>
      </c>
      <c r="B90" s="8">
        <f>B$83</f>
        <v>0.03</v>
      </c>
      <c r="C90">
        <v>8</v>
      </c>
      <c r="D90" s="10">
        <f>D89*(1-B90)+A90</f>
        <v>36.04277342705065</v>
      </c>
      <c r="E90" s="7">
        <f>D90*ClientRevenue</f>
        <v>5406.416014057597</v>
      </c>
      <c r="F90" s="8">
        <f>IF(MOD(C90-1,3)=0,IF(E89&gt;=TopThreshold,TopRate,IF(E89&gt;=MidThreshold,MidRate,EntryRate))+FoundingBonus,F89)</f>
        <v>0.4</v>
      </c>
      <c r="G90" s="7">
        <f>E90*F90</f>
        <v>2162.566405623039</v>
      </c>
      <c r="H90" s="7">
        <f>H89+G90</f>
        <v>9327.734352307987</v>
      </c>
    </row>
    <row r="91" spans="1:8">
      <c r="A91" s="10">
        <f>A$83</f>
        <v>5</v>
      </c>
      <c r="B91" s="8">
        <f>B$83</f>
        <v>0.03</v>
      </c>
      <c r="C91">
        <v>9</v>
      </c>
      <c r="D91" s="10">
        <f>D90*(1-B91)+A91</f>
        <v>39.96149022423913</v>
      </c>
      <c r="E91" s="7">
        <f>D91*ClientRevenue</f>
        <v>5994.223533635869</v>
      </c>
      <c r="F91" s="8">
        <f>IF(MOD(C91-1,3)=0,IF(E90&gt;=TopThreshold,TopRate,IF(E90&gt;=MidThreshold,MidRate,EntryRate))+FoundingBonus,F90)</f>
        <v>0.4</v>
      </c>
      <c r="G91" s="7">
        <f>E91*F91</f>
        <v>2397.6894134543477</v>
      </c>
      <c r="H91" s="7">
        <f>H90+G91</f>
        <v>11725.423765762334</v>
      </c>
    </row>
    <row r="92" spans="1:8">
      <c r="A92" s="10">
        <f>A$83</f>
        <v>5</v>
      </c>
      <c r="B92" s="8">
        <f>B$83</f>
        <v>0.03</v>
      </c>
      <c r="C92">
        <v>10</v>
      </c>
      <c r="D92" s="10">
        <f>D91*(1-B92)+A92</f>
        <v>43.762645517511956</v>
      </c>
      <c r="E92" s="7">
        <f>D92*ClientRevenue</f>
        <v>6564.396827626793</v>
      </c>
      <c r="F92" s="8">
        <f>IF(MOD(C92-1,3)=0,IF(E91&gt;=TopThreshold,TopRate,IF(E91&gt;=MidThreshold,MidRate,EntryRate))+FoundingBonus,F91)</f>
        <v>0.475</v>
      </c>
      <c r="G92" s="7">
        <f>E92*F92</f>
        <v>3118.0884931227265</v>
      </c>
      <c r="H92" s="7">
        <f>H91+G92</f>
        <v>14843.51225888506</v>
      </c>
    </row>
    <row r="93" spans="1:8">
      <c r="A93" s="10">
        <f>A$83</f>
        <v>5</v>
      </c>
      <c r="B93" s="8">
        <f>B$83</f>
        <v>0.03</v>
      </c>
      <c r="C93">
        <v>11</v>
      </c>
      <c r="D93" s="10">
        <f>D92*(1-B93)+A93</f>
        <v>47.449766151986594</v>
      </c>
      <c r="E93" s="7">
        <f>D93*ClientRevenue</f>
        <v>7117.464922797989</v>
      </c>
      <c r="F93" s="8">
        <f>IF(MOD(C93-1,3)=0,IF(E92&gt;=TopThreshold,TopRate,IF(E92&gt;=MidThreshold,MidRate,EntryRate))+FoundingBonus,F92)</f>
        <v>0.475</v>
      </c>
      <c r="G93" s="7">
        <f>E93*F93</f>
        <v>3380.7958383290447</v>
      </c>
      <c r="H93" s="7">
        <f>H92+G93</f>
        <v>18224.308097214107</v>
      </c>
    </row>
    <row r="94" spans="1:8">
      <c r="A94" s="10">
        <f>A$83</f>
        <v>5</v>
      </c>
      <c r="B94" s="8">
        <f>B$83</f>
        <v>0.03</v>
      </c>
      <c r="C94">
        <v>12</v>
      </c>
      <c r="D94" s="10">
        <f>D93*(1-B94)+A94</f>
        <v>51.02627316742699</v>
      </c>
      <c r="E94" s="7">
        <f>D94*ClientRevenue</f>
        <v>7653.940975114049</v>
      </c>
      <c r="F94" s="8">
        <f>IF(MOD(C94-1,3)=0,IF(E93&gt;=TopThreshold,TopRate,IF(E93&gt;=MidThreshold,MidRate,EntryRate))+FoundingBonus,F93)</f>
        <v>0.475</v>
      </c>
      <c r="G94" s="7">
        <f>E94*F94</f>
        <v>3635.6219631791732</v>
      </c>
      <c r="H94" s="7">
        <f>H93+G94</f>
        <v>21859.93006039328</v>
      </c>
    </row>
    <row r="95" spans="1:8">
      <c r="A95" s="10">
        <f>A$83</f>
        <v>5</v>
      </c>
      <c r="B95" s="8">
        <f>B$83</f>
        <v>0.03</v>
      </c>
      <c r="C95">
        <v>13</v>
      </c>
      <c r="D95" s="10">
        <f>D94*(1-B95)+A95</f>
        <v>54.495484972404185</v>
      </c>
      <c r="E95" s="7">
        <f>D95*ClientRevenue</f>
        <v>8174.322745860628</v>
      </c>
      <c r="F95" s="8">
        <f>IF(MOD(C95-1,3)=0,IF(E94&gt;=TopThreshold,TopRate,IF(E94&gt;=MidThreshold,MidRate,EntryRate))+FoundingBonus,F94)</f>
        <v>0.475</v>
      </c>
      <c r="G95" s="7">
        <f>E95*F95</f>
        <v>3882.8033042837983</v>
      </c>
      <c r="H95" s="7">
        <f>H94+G95</f>
        <v>25742.73336467708</v>
      </c>
    </row>
    <row r="96" spans="1:8">
      <c r="A96" s="10">
        <f>A$83</f>
        <v>5</v>
      </c>
      <c r="B96" s="8">
        <f>B$83</f>
        <v>0.03</v>
      </c>
      <c r="C96">
        <v>14</v>
      </c>
      <c r="D96" s="10">
        <f>D95*(1-B96)+A96</f>
        <v>57.86062042323206</v>
      </c>
      <c r="E96" s="7">
        <f>D96*ClientRevenue</f>
        <v>8679.093063484808</v>
      </c>
      <c r="F96" s="8">
        <f>IF(MOD(C96-1,3)=0,IF(E95&gt;=TopThreshold,TopRate,IF(E95&gt;=MidThreshold,MidRate,EntryRate))+FoundingBonus,F95)</f>
        <v>0.475</v>
      </c>
      <c r="G96" s="7">
        <f>E96*F96</f>
        <v>4122.569205155283</v>
      </c>
      <c r="H96" s="7">
        <f>H95+G96</f>
        <v>29865.30256983236</v>
      </c>
    </row>
    <row r="97" spans="1:8">
      <c r="A97" s="10">
        <f>A$83</f>
        <v>5</v>
      </c>
      <c r="B97" s="8">
        <f>B$83</f>
        <v>0.03</v>
      </c>
      <c r="C97">
        <v>15</v>
      </c>
      <c r="D97" s="10">
        <f>D96*(1-B97)+A97</f>
        <v>61.1248018105351</v>
      </c>
      <c r="E97" s="7">
        <f>D97*ClientRevenue</f>
        <v>9168.720271580265</v>
      </c>
      <c r="F97" s="8">
        <f>IF(MOD(C97-1,3)=0,IF(E96&gt;=TopThreshold,TopRate,IF(E96&gt;=MidThreshold,MidRate,EntryRate))+FoundingBonus,F96)</f>
        <v>0.475</v>
      </c>
      <c r="G97" s="7">
        <f>E97*F97</f>
        <v>4355.142129000626</v>
      </c>
      <c r="H97" s="7">
        <f>H96+G97</f>
        <v>34220.44469883299</v>
      </c>
    </row>
    <row r="98" spans="1:8">
      <c r="A98" s="10">
        <f>A$83</f>
        <v>5</v>
      </c>
      <c r="B98" s="8">
        <f>B$83</f>
        <v>0.03</v>
      </c>
      <c r="C98">
        <v>16</v>
      </c>
      <c r="D98" s="10">
        <f>D97*(1-B98)+A98</f>
        <v>64.29105775621903</v>
      </c>
      <c r="E98" s="7">
        <f>D98*ClientRevenue</f>
        <v>9643.658663432854</v>
      </c>
      <c r="F98" s="8">
        <f>IF(MOD(C98-1,3)=0,IF(E97&gt;=TopThreshold,TopRate,IF(E97&gt;=MidThreshold,MidRate,EntryRate))+FoundingBonus,F97)</f>
        <v>0.475</v>
      </c>
      <c r="G98" s="7">
        <f>E98*F98</f>
        <v>4580.737865130605</v>
      </c>
      <c r="H98" s="7">
        <f>H97+G98</f>
        <v>38801.18256396359</v>
      </c>
    </row>
    <row r="99" spans="1:8">
      <c r="A99" s="10">
        <f>A$83</f>
        <v>5</v>
      </c>
      <c r="B99" s="8">
        <f>B$83</f>
        <v>0.03</v>
      </c>
      <c r="C99">
        <v>17</v>
      </c>
      <c r="D99" s="10">
        <f>D98*(1-B99)+A99</f>
        <v>67.36232602353246</v>
      </c>
      <c r="E99" s="7">
        <f>D99*ClientRevenue</f>
        <v>10104.34890352987</v>
      </c>
      <c r="F99" s="8">
        <f>IF(MOD(C99-1,3)=0,IF(E98&gt;=TopThreshold,TopRate,IF(E98&gt;=MidThreshold,MidRate,EntryRate))+FoundingBonus,F98)</f>
        <v>0.475</v>
      </c>
      <c r="G99" s="7">
        <f>E99*F99</f>
        <v>4799.565729176688</v>
      </c>
      <c r="H99" s="7">
        <f>H98+G99</f>
        <v>43600.748293140285</v>
      </c>
    </row>
    <row r="100" spans="1:8">
      <c r="A100" s="10">
        <f>A$83</f>
        <v>5</v>
      </c>
      <c r="B100" s="8">
        <f>B$83</f>
        <v>0.03</v>
      </c>
      <c r="C100">
        <v>18</v>
      </c>
      <c r="D100" s="10">
        <f>D99*(1-B100)+A100</f>
        <v>70.34145624282648</v>
      </c>
      <c r="E100" s="7">
        <f>D100*ClientRevenue</f>
        <v>10551.218436423973</v>
      </c>
      <c r="F100" s="8">
        <f>IF(MOD(C100-1,3)=0,IF(E99&gt;=TopThreshold,TopRate,IF(E99&gt;=MidThreshold,MidRate,EntryRate))+FoundingBonus,F99)</f>
        <v>0.475</v>
      </c>
      <c r="G100" s="7">
        <f>E100*F100</f>
        <v>5011.828757301387</v>
      </c>
      <c r="H100" s="7">
        <f>H99+G100</f>
        <v>48612.57705044167</v>
      </c>
    </row>
    <row r="101" spans="1:8">
      <c r="A101" s="10">
        <f>A$83</f>
        <v>5</v>
      </c>
      <c r="B101" s="8">
        <f>B$83</f>
        <v>0.03</v>
      </c>
      <c r="C101">
        <v>19</v>
      </c>
      <c r="D101" s="10">
        <f>D100*(1-B101)+A101</f>
        <v>73.23121255554169</v>
      </c>
      <c r="E101" s="7">
        <f>D101*ClientRevenue</f>
        <v>10984.681883331254</v>
      </c>
      <c r="F101" s="8">
        <f>IF(MOD(C101-1,3)=0,IF(E100&gt;=TopThreshold,TopRate,IF(E100&gt;=MidThreshold,MidRate,EntryRate))+FoundingBonus,F100)</f>
        <v>0.475</v>
      </c>
      <c r="G101" s="7">
        <f>E101*F101</f>
        <v>5217.723894582346</v>
      </c>
      <c r="H101" s="7">
        <f>H100+G101</f>
        <v>53830.30094502402</v>
      </c>
    </row>
    <row r="102" spans="1:8">
      <c r="A102" s="10">
        <f>A$83</f>
        <v>5</v>
      </c>
      <c r="B102" s="8">
        <f>B$83</f>
        <v>0.03</v>
      </c>
      <c r="C102">
        <v>20</v>
      </c>
      <c r="D102" s="10">
        <f>D101*(1-B102)+A102</f>
        <v>76.03427617887543</v>
      </c>
      <c r="E102" s="7">
        <f>D102*ClientRevenue</f>
        <v>11405.141426831315</v>
      </c>
      <c r="F102" s="8">
        <f>IF(MOD(C102-1,3)=0,IF(E101&gt;=TopThreshold,TopRate,IF(E101&gt;=MidThreshold,MidRate,EntryRate))+FoundingBonus,F101)</f>
        <v>0.475</v>
      </c>
      <c r="G102" s="7">
        <f>E102*F102</f>
        <v>5417.442177744874</v>
      </c>
      <c r="H102" s="7">
        <f>H101+G102</f>
        <v>59247.743122768894</v>
      </c>
    </row>
    <row r="103" spans="1:8">
      <c r="A103" s="10">
        <f>A$83</f>
        <v>5</v>
      </c>
      <c r="B103" s="8">
        <f>B$83</f>
        <v>0.03</v>
      </c>
      <c r="C103">
        <v>21</v>
      </c>
      <c r="D103" s="10">
        <f>D102*(1-B103)+A103</f>
        <v>78.75324789350917</v>
      </c>
      <c r="E103" s="7">
        <f>D103*ClientRevenue</f>
        <v>11812.987184026375</v>
      </c>
      <c r="F103" s="8">
        <f>IF(MOD(C103-1,3)=0,IF(E102&gt;=TopThreshold,TopRate,IF(E102&gt;=MidThreshold,MidRate,EntryRate))+FoundingBonus,F102)</f>
        <v>0.475</v>
      </c>
      <c r="G103" s="7">
        <f>E103*F103</f>
        <v>5611.168912412528</v>
      </c>
      <c r="H103" s="7">
        <f>H102+G103</f>
        <v>64858.91203518142</v>
      </c>
    </row>
    <row r="104" spans="1:8">
      <c r="A104" s="10">
        <f>A$83</f>
        <v>5</v>
      </c>
      <c r="B104" s="8">
        <f>B$83</f>
        <v>0.03</v>
      </c>
      <c r="C104">
        <v>22</v>
      </c>
      <c r="D104" s="10">
        <f>D103*(1-B104)+A104</f>
        <v>81.3906504567039</v>
      </c>
      <c r="E104" s="7">
        <f>D104*ClientRevenue</f>
        <v>12208.597568505584</v>
      </c>
      <c r="F104" s="8">
        <f>IF(MOD(C104-1,3)=0,IF(E103&gt;=TopThreshold,TopRate,IF(E103&gt;=MidThreshold,MidRate,EntryRate))+FoundingBonus,F103)</f>
        <v>0.475</v>
      </c>
      <c r="G104" s="7">
        <f>E104*F104</f>
        <v>5799.083845040152</v>
      </c>
      <c r="H104" s="7">
        <f>H103+G104</f>
        <v>70657.99588022157</v>
      </c>
    </row>
    <row r="105" spans="1:8">
      <c r="A105" s="10">
        <f>A$83</f>
        <v>5</v>
      </c>
      <c r="B105" s="8">
        <f>B$83</f>
        <v>0.03</v>
      </c>
      <c r="C105">
        <v>23</v>
      </c>
      <c r="D105" s="10">
        <f>D104*(1-B105)+A105</f>
        <v>83.94893094300278</v>
      </c>
      <c r="E105" s="7">
        <f>D105*ClientRevenue</f>
        <v>12592.339641450417</v>
      </c>
      <c r="F105" s="8">
        <f>IF(MOD(C105-1,3)=0,IF(E104&gt;=TopThreshold,TopRate,IF(E104&gt;=MidThreshold,MidRate,EntryRate))+FoundingBonus,F104)</f>
        <v>0.475</v>
      </c>
      <c r="G105" s="7">
        <f>E105*F105</f>
        <v>5981.361329688948</v>
      </c>
      <c r="H105" s="7">
        <f>H104+G105</f>
        <v>76639.35720991052</v>
      </c>
    </row>
    <row r="106" spans="1:8">
      <c r="A106" s="10">
        <f>A$83</f>
        <v>5</v>
      </c>
      <c r="B106" s="8">
        <f>B$83</f>
        <v>0.03</v>
      </c>
      <c r="C106">
        <v>24</v>
      </c>
      <c r="D106" s="10">
        <f>D105*(1-B106)+A106</f>
        <v>86.4304630147127</v>
      </c>
      <c r="E106" s="7">
        <f>D106*ClientRevenue</f>
        <v>12964.569452206904</v>
      </c>
      <c r="F106" s="8">
        <f>IF(MOD(C106-1,3)=0,IF(E105&gt;=TopThreshold,TopRate,IF(E105&gt;=MidThreshold,MidRate,EntryRate))+FoundingBonus,F105)</f>
        <v>0.475</v>
      </c>
      <c r="G106" s="7">
        <f>E106*F106</f>
        <v>6158.170489798279</v>
      </c>
      <c r="H106" s="7">
        <f>H105+G106</f>
        <v>82797.52769970881</v>
      </c>
    </row>
    <row r="107" spans="1:8">
      <c r="A107" s="10">
        <f>A$83</f>
        <v>5</v>
      </c>
      <c r="B107" s="8">
        <f>B$83</f>
        <v>0.03</v>
      </c>
      <c r="C107">
        <v>25</v>
      </c>
      <c r="D107" s="10">
        <f>D106*(1-B107)+A107</f>
        <v>88.83754912427132</v>
      </c>
      <c r="E107" s="7">
        <f>D107*ClientRevenue</f>
        <v>13325.632368640698</v>
      </c>
      <c r="F107" s="8">
        <f>IF(MOD(C107-1,3)=0,IF(E106&gt;=TopThreshold,TopRate,IF(E106&gt;=MidThreshold,MidRate,EntryRate))+FoundingBonus,F106)</f>
        <v>0.475</v>
      </c>
      <c r="G107" s="7">
        <f>E107*F107</f>
        <v>6329.675375104331</v>
      </c>
      <c r="H107" s="7">
        <f>H106+G107</f>
        <v>89127.20307481314</v>
      </c>
    </row>
    <row r="108" spans="1:8">
      <c r="A108" s="10">
        <f>A$83</f>
        <v>5</v>
      </c>
      <c r="B108" s="8">
        <f>B$83</f>
        <v>0.03</v>
      </c>
      <c r="C108">
        <v>26</v>
      </c>
      <c r="D108" s="10">
        <f>D107*(1-B108)+A108</f>
        <v>91.17242265054318</v>
      </c>
      <c r="E108" s="7">
        <f>D108*ClientRevenue</f>
        <v>13675.863397581477</v>
      </c>
      <c r="F108" s="8">
        <f>IF(MOD(C108-1,3)=0,IF(E107&gt;=TopThreshold,TopRate,IF(E107&gt;=MidThreshold,MidRate,EntryRate))+FoundingBonus,F107)</f>
        <v>0.475</v>
      </c>
      <c r="G108" s="7">
        <f>E108*F108</f>
        <v>6496.0351138512015</v>
      </c>
      <c r="H108" s="7">
        <f>H107+G108</f>
        <v>95623.23818866434</v>
      </c>
    </row>
    <row r="109" spans="1:8">
      <c r="A109" s="10">
        <f>A$83</f>
        <v>5</v>
      </c>
      <c r="B109" s="8">
        <f>B$83</f>
        <v>0.03</v>
      </c>
      <c r="C109">
        <v>27</v>
      </c>
      <c r="D109" s="10">
        <f>D108*(1-B109)+A109</f>
        <v>93.43724997102689</v>
      </c>
      <c r="E109" s="7">
        <f>D109*ClientRevenue</f>
        <v>14015.587495654034</v>
      </c>
      <c r="F109" s="8">
        <f>IF(MOD(C109-1,3)=0,IF(E108&gt;=TopThreshold,TopRate,IF(E108&gt;=MidThreshold,MidRate,EntryRate))+FoundingBonus,F108)</f>
        <v>0.475</v>
      </c>
      <c r="G109" s="7">
        <f>E109*F109</f>
        <v>6657.404060435666</v>
      </c>
      <c r="H109" s="7">
        <f>H108+G109</f>
        <v>102280.64224910001</v>
      </c>
    </row>
    <row r="110" spans="1:8">
      <c r="A110" s="10">
        <f>A$83</f>
        <v>5</v>
      </c>
      <c r="B110" s="8">
        <f>B$83</f>
        <v>0.03</v>
      </c>
      <c r="C110">
        <v>28</v>
      </c>
      <c r="D110" s="10">
        <f>D109*(1-B110)+A110</f>
        <v>95.63413247189608</v>
      </c>
      <c r="E110" s="7">
        <f>D110*ClientRevenue</f>
        <v>14345.119870784412</v>
      </c>
      <c r="F110" s="8">
        <f>IF(MOD(C110-1,3)=0,IF(E109&gt;=TopThreshold,TopRate,IF(E109&gt;=MidThreshold,MidRate,EntryRate))+FoundingBonus,F109)</f>
        <v>0.475</v>
      </c>
      <c r="G110" s="7">
        <f>E110*F110</f>
        <v>6813.931938622595</v>
      </c>
      <c r="H110" s="7">
        <f>H109+G110</f>
        <v>109094.57418772261</v>
      </c>
    </row>
    <row r="111" spans="1:8">
      <c r="A111" s="10">
        <f>A$83</f>
        <v>5</v>
      </c>
      <c r="B111" s="8">
        <f>B$83</f>
        <v>0.03</v>
      </c>
      <c r="C111">
        <v>29</v>
      </c>
      <c r="D111" s="10">
        <f>D110*(1-B111)+A111</f>
        <v>97.76510849773919</v>
      </c>
      <c r="E111" s="7">
        <f>D111*ClientRevenue</f>
        <v>14664.766274660878</v>
      </c>
      <c r="F111" s="8">
        <f>IF(MOD(C111-1,3)=0,IF(E110&gt;=TopThreshold,TopRate,IF(E110&gt;=MidThreshold,MidRate,EntryRate))+FoundingBonus,F110)</f>
        <v>0.475</v>
      </c>
      <c r="G111" s="7">
        <f>E111*F111</f>
        <v>6965.763980463917</v>
      </c>
      <c r="H111" s="7">
        <f>H110+G111</f>
        <v>116060.33816818653</v>
      </c>
    </row>
    <row r="112" spans="1:8">
      <c r="A112" s="10">
        <f>A$83</f>
        <v>5</v>
      </c>
      <c r="B112" s="8">
        <f>B$83</f>
        <v>0.03</v>
      </c>
      <c r="C112">
        <v>30</v>
      </c>
      <c r="D112" s="10">
        <f>D111*(1-B112)+A112</f>
        <v>99.83215524280702</v>
      </c>
      <c r="E112" s="7">
        <f>D112*ClientRevenue</f>
        <v>14974.823286421053</v>
      </c>
      <c r="F112" s="8">
        <f>IF(MOD(C112-1,3)=0,IF(E111&gt;=TopThreshold,TopRate,IF(E111&gt;=MidThreshold,MidRate,EntryRate))+FoundingBonus,F111)</f>
        <v>0.475</v>
      </c>
      <c r="G112" s="7">
        <f>E112*F112</f>
        <v>7113.04106105</v>
      </c>
      <c r="H112" s="7">
        <f>H111+G112</f>
        <v>123173.37922923653</v>
      </c>
    </row>
    <row r="113" spans="1:8">
      <c r="A113" s="10">
        <f>A$83</f>
        <v>5</v>
      </c>
      <c r="B113" s="8">
        <f>B$83</f>
        <v>0.03</v>
      </c>
      <c r="C113">
        <v>31</v>
      </c>
      <c r="D113" s="10">
        <f>D112*(1-B113)+A113</f>
        <v>101.8371905855228</v>
      </c>
      <c r="E113" s="7">
        <f>D113*ClientRevenue</f>
        <v>15275.57858782842</v>
      </c>
      <c r="F113" s="8">
        <f>IF(MOD(C113-1,3)=0,IF(E112&gt;=TopThreshold,TopRate,IF(E112&gt;=MidThreshold,MidRate,EntryRate))+FoundingBonus,F112)</f>
        <v>0.475</v>
      </c>
      <c r="G113" s="7">
        <f>E113*F113</f>
        <v>7255.8998292185</v>
      </c>
      <c r="H113" s="7">
        <f>H112+G113</f>
        <v>130429.27905845502</v>
      </c>
    </row>
    <row r="114" spans="1:8">
      <c r="A114" s="10">
        <f>A$83</f>
        <v>5</v>
      </c>
      <c r="B114" s="8">
        <f>B$83</f>
        <v>0.03</v>
      </c>
      <c r="C114">
        <v>32</v>
      </c>
      <c r="D114" s="10">
        <f>D113*(1-B114)+A114</f>
        <v>103.78207486795712</v>
      </c>
      <c r="E114" s="7">
        <f>D114*ClientRevenue</f>
        <v>15567.311230193569</v>
      </c>
      <c r="F114" s="8">
        <f>IF(MOD(C114-1,3)=0,IF(E113&gt;=TopThreshold,TopRate,IF(E113&gt;=MidThreshold,MidRate,EntryRate))+FoundingBonus,F113)</f>
        <v>0.475</v>
      </c>
      <c r="G114" s="7">
        <f>E114*F114</f>
        <v>7394.472834341945</v>
      </c>
      <c r="H114" s="7">
        <f>H113+G114</f>
        <v>137823.75189279698</v>
      </c>
    </row>
    <row r="115" spans="1:8">
      <c r="A115" s="10">
        <f>A$83</f>
        <v>5</v>
      </c>
      <c r="B115" s="8">
        <f>B$83</f>
        <v>0.03</v>
      </c>
      <c r="C115">
        <v>33</v>
      </c>
      <c r="D115" s="10">
        <f>D114*(1-B115)+A115</f>
        <v>105.6686126219184</v>
      </c>
      <c r="E115" s="7">
        <f>D115*ClientRevenue</f>
        <v>15850.29189328776</v>
      </c>
      <c r="F115" s="8">
        <f>IF(MOD(C115-1,3)=0,IF(E114&gt;=TopThreshold,TopRate,IF(E114&gt;=MidThreshold,MidRate,EntryRate))+FoundingBonus,F114)</f>
        <v>0.475</v>
      </c>
      <c r="G115" s="7">
        <f>E115*F115</f>
        <v>7528.888649311686</v>
      </c>
      <c r="H115" s="7">
        <f>H114+G115</f>
        <v>145352.64054210865</v>
      </c>
    </row>
    <row r="116" spans="1:8">
      <c r="A116" s="10">
        <f>A$83</f>
        <v>5</v>
      </c>
      <c r="B116" s="8">
        <f>B$83</f>
        <v>0.03</v>
      </c>
      <c r="C116">
        <v>34</v>
      </c>
      <c r="D116" s="10">
        <f>D115*(1-B116)+A116</f>
        <v>107.49855424326084</v>
      </c>
      <c r="E116" s="7">
        <f>D116*ClientRevenue</f>
        <v>16124.783136489126</v>
      </c>
      <c r="F116" s="8">
        <f>IF(MOD(C116-1,3)=0,IF(E115&gt;=TopThreshold,TopRate,IF(E115&gt;=MidThreshold,MidRate,EntryRate))+FoundingBonus,F115)</f>
        <v>0.475</v>
      </c>
      <c r="G116" s="7">
        <f>E116*F116</f>
        <v>7659.271989832335</v>
      </c>
      <c r="H116" s="7">
        <f>H115+G116</f>
        <v>153011.912531941</v>
      </c>
    </row>
    <row r="117" spans="1:8">
      <c r="A117" s="10">
        <f>A$83</f>
        <v>5</v>
      </c>
      <c r="B117" s="8">
        <f>B$83</f>
        <v>0.03</v>
      </c>
      <c r="C117">
        <v>35</v>
      </c>
      <c r="D117" s="10">
        <f>D116*(1-B117)+A117</f>
        <v>109.27359761596301</v>
      </c>
      <c r="E117" s="7">
        <f>D117*ClientRevenue</f>
        <v>16391.03964239445</v>
      </c>
      <c r="F117" s="8">
        <f>IF(MOD(C117-1,3)=0,IF(E116&gt;=TopThreshold,TopRate,IF(E116&gt;=MidThreshold,MidRate,EntryRate))+FoundingBonus,F116)</f>
        <v>0.475</v>
      </c>
      <c r="G117" s="7">
        <f>E117*F117</f>
        <v>7785.743830137364</v>
      </c>
      <c r="H117" s="7">
        <f>H116+G117</f>
        <v>160797.65636207836</v>
      </c>
    </row>
    <row r="118" spans="1:8">
      <c r="A118" s="10">
        <f>A$83</f>
        <v>5</v>
      </c>
      <c r="B118" s="8">
        <f>B$83</f>
        <v>0.03</v>
      </c>
      <c r="C118">
        <v>36</v>
      </c>
      <c r="D118" s="10">
        <f>D117*(1-B118)+A118</f>
        <v>110.99538968748412</v>
      </c>
      <c r="E118" s="7">
        <f>D118*ClientRevenue</f>
        <v>16649.30845312262</v>
      </c>
      <c r="F118" s="8">
        <f>IF(MOD(C118-1,3)=0,IF(E117&gt;=TopThreshold,TopRate,IF(E117&gt;=MidThreshold,MidRate,EntryRate))+FoundingBonus,F117)</f>
        <v>0.475</v>
      </c>
      <c r="G118" s="7">
        <f>E118*F118</f>
        <v>7908.421515233244</v>
      </c>
      <c r="H118" s="7">
        <f>H117+G118</f>
        <v>168706.0778773116</v>
      </c>
    </row>
    <row r="122" spans="1:8">
      <c r="A122" s="6">
        <v>5</v>
      </c>
      <c r="B122" s="5">
        <v>0.05</v>
      </c>
      <c r="C122">
        <v>1</v>
      </c>
      <c r="D122" s="10">
        <f>A122</f>
        <v>5.0</v>
      </c>
      <c r="E122" s="7">
        <f>D122*ClientRevenue</f>
        <v>750.0</v>
      </c>
      <c r="F122" s="8">
        <f>EntryRate+FoundingBonus</f>
        <v>0.35</v>
      </c>
      <c r="G122" s="7">
        <f>E122*F122</f>
        <v>262.5</v>
      </c>
      <c r="H122" s="7">
        <f>G122</f>
        <v>262.5</v>
      </c>
    </row>
    <row r="123" spans="1:8">
      <c r="A123" s="10">
        <f>A$122</f>
        <v>5</v>
      </c>
      <c r="B123" s="8">
        <f>B$122</f>
        <v>0.05</v>
      </c>
      <c r="C123">
        <v>2</v>
      </c>
      <c r="D123" s="10">
        <f>D122*(1-B123)+A123</f>
        <v>9.75</v>
      </c>
      <c r="E123" s="7">
        <f>D123*ClientRevenue</f>
        <v>1462.5</v>
      </c>
      <c r="F123" s="8">
        <f>IF(MOD(C123-1,3)=0,IF(E122&gt;=TopThreshold,TopRate,IF(E122&gt;=MidThreshold,MidRate,EntryRate))+FoundingBonus,F122)</f>
        <v>0.35</v>
      </c>
      <c r="G123" s="7">
        <f>E123*F123</f>
        <v>511.87499999999994</v>
      </c>
      <c r="H123" s="7">
        <f>H122+G123</f>
        <v>774.375</v>
      </c>
    </row>
    <row r="124" spans="1:8">
      <c r="A124" s="10">
        <f>A$122</f>
        <v>5</v>
      </c>
      <c r="B124" s="8">
        <f>B$122</f>
        <v>0.05</v>
      </c>
      <c r="C124">
        <v>3</v>
      </c>
      <c r="D124" s="10">
        <f>D123*(1-B124)+A124</f>
        <v>14.2625</v>
      </c>
      <c r="E124" s="7">
        <f>D124*ClientRevenue</f>
        <v>2139.375</v>
      </c>
      <c r="F124" s="8">
        <f>IF(MOD(C124-1,3)=0,IF(E123&gt;=TopThreshold,TopRate,IF(E123&gt;=MidThreshold,MidRate,EntryRate))+FoundingBonus,F123)</f>
        <v>0.35</v>
      </c>
      <c r="G124" s="7">
        <f>E124*F124</f>
        <v>748.78125</v>
      </c>
      <c r="H124" s="7">
        <f>H123+G124</f>
        <v>1523.15625</v>
      </c>
    </row>
    <row r="125" spans="1:8">
      <c r="A125" s="10">
        <f>A$122</f>
        <v>5</v>
      </c>
      <c r="B125" s="8">
        <f>B$122</f>
        <v>0.05</v>
      </c>
      <c r="C125">
        <v>4</v>
      </c>
      <c r="D125" s="10">
        <f>D124*(1-B125)+A125</f>
        <v>18.549374999999998</v>
      </c>
      <c r="E125" s="7">
        <f>D125*ClientRevenue</f>
        <v>2782.4062499999995</v>
      </c>
      <c r="F125" s="8">
        <f>IF(MOD(C125-1,3)=0,IF(E124&gt;=TopThreshold,TopRate,IF(E124&gt;=MidThreshold,MidRate,EntryRate))+FoundingBonus,F124)</f>
        <v>0.35</v>
      </c>
      <c r="G125" s="7">
        <f>E125*F125</f>
        <v>973.8421874999998</v>
      </c>
      <c r="H125" s="7">
        <f>H124+G125</f>
        <v>2496.9984375</v>
      </c>
    </row>
    <row r="126" spans="1:8">
      <c r="A126" s="10">
        <f>A$122</f>
        <v>5</v>
      </c>
      <c r="B126" s="8">
        <f>B$122</f>
        <v>0.05</v>
      </c>
      <c r="C126">
        <v>5</v>
      </c>
      <c r="D126" s="10">
        <f>D125*(1-B126)+A126</f>
        <v>22.62190625</v>
      </c>
      <c r="E126" s="7">
        <f>D126*ClientRevenue</f>
        <v>3393.2859375</v>
      </c>
      <c r="F126" s="8">
        <f>IF(MOD(C126-1,3)=0,IF(E125&gt;=TopThreshold,TopRate,IF(E125&gt;=MidThreshold,MidRate,EntryRate))+FoundingBonus,F125)</f>
        <v>0.35</v>
      </c>
      <c r="G126" s="7">
        <f>E126*F126</f>
        <v>1187.650078125</v>
      </c>
      <c r="H126" s="7">
        <f>H125+G126</f>
        <v>3684.648515625</v>
      </c>
    </row>
    <row r="127" spans="1:8">
      <c r="A127" s="10">
        <f>A$122</f>
        <v>5</v>
      </c>
      <c r="B127" s="8">
        <f>B$122</f>
        <v>0.05</v>
      </c>
      <c r="C127">
        <v>6</v>
      </c>
      <c r="D127" s="10">
        <f>D126*(1-B127)+A127</f>
        <v>26.490810937499997</v>
      </c>
      <c r="E127" s="7">
        <f>D127*ClientRevenue</f>
        <v>3973.6216406249996</v>
      </c>
      <c r="F127" s="8">
        <f>IF(MOD(C127-1,3)=0,IF(E126&gt;=TopThreshold,TopRate,IF(E126&gt;=MidThreshold,MidRate,EntryRate))+FoundingBonus,F126)</f>
        <v>0.35</v>
      </c>
      <c r="G127" s="7">
        <f>E127*F127</f>
        <v>1390.7675742187498</v>
      </c>
      <c r="H127" s="7">
        <f>H126+G127</f>
        <v>5075.416089843749</v>
      </c>
    </row>
    <row r="128" spans="1:8">
      <c r="A128" s="10">
        <f>A$122</f>
        <v>5</v>
      </c>
      <c r="B128" s="8">
        <f>B$122</f>
        <v>0.05</v>
      </c>
      <c r="C128">
        <v>7</v>
      </c>
      <c r="D128" s="10">
        <f>D127*(1-B128)+A128</f>
        <v>30.166270390624998</v>
      </c>
      <c r="E128" s="7">
        <f>D128*ClientRevenue</f>
        <v>4524.940558593749</v>
      </c>
      <c r="F128" s="8">
        <f>IF(MOD(C128-1,3)=0,IF(E127&gt;=TopThreshold,TopRate,IF(E127&gt;=MidThreshold,MidRate,EntryRate))+FoundingBonus,F127)</f>
        <v>0.4</v>
      </c>
      <c r="G128" s="7">
        <f>E128*F128</f>
        <v>1809.9762234374998</v>
      </c>
      <c r="H128" s="7">
        <f>H127+G128</f>
        <v>6885.392313281249</v>
      </c>
    </row>
    <row r="129" spans="1:8">
      <c r="A129" s="10">
        <f>A$122</f>
        <v>5</v>
      </c>
      <c r="B129" s="8">
        <f>B$122</f>
        <v>0.05</v>
      </c>
      <c r="C129">
        <v>8</v>
      </c>
      <c r="D129" s="10">
        <f>D128*(1-B129)+A129</f>
        <v>33.657956871093745</v>
      </c>
      <c r="E129" s="7">
        <f>D129*ClientRevenue</f>
        <v>5048.693530664062</v>
      </c>
      <c r="F129" s="8">
        <f>IF(MOD(C129-1,3)=0,IF(E128&gt;=TopThreshold,TopRate,IF(E128&gt;=MidThreshold,MidRate,EntryRate))+FoundingBonus,F128)</f>
        <v>0.4</v>
      </c>
      <c r="G129" s="7">
        <f>E129*F129</f>
        <v>2019.4774122656247</v>
      </c>
      <c r="H129" s="7">
        <f>H128+G129</f>
        <v>8904.869725546874</v>
      </c>
    </row>
    <row r="130" spans="1:8">
      <c r="A130" s="10">
        <f>A$122</f>
        <v>5</v>
      </c>
      <c r="B130" s="8">
        <f>B$122</f>
        <v>0.05</v>
      </c>
      <c r="C130">
        <v>9</v>
      </c>
      <c r="D130" s="10">
        <f>D129*(1-B130)+A130</f>
        <v>36.97505902753906</v>
      </c>
      <c r="E130" s="7">
        <f>D130*ClientRevenue</f>
        <v>5546.258854130859</v>
      </c>
      <c r="F130" s="8">
        <f>IF(MOD(C130-1,3)=0,IF(E129&gt;=TopThreshold,TopRate,IF(E129&gt;=MidThreshold,MidRate,EntryRate))+FoundingBonus,F129)</f>
        <v>0.4</v>
      </c>
      <c r="G130" s="7">
        <f>E130*F130</f>
        <v>2218.5035416523438</v>
      </c>
      <c r="H130" s="7">
        <f>H129+G130</f>
        <v>11123.373267199218</v>
      </c>
    </row>
    <row r="131" spans="1:8">
      <c r="A131" s="10">
        <f>A$122</f>
        <v>5</v>
      </c>
      <c r="B131" s="8">
        <f>B$122</f>
        <v>0.05</v>
      </c>
      <c r="C131">
        <v>10</v>
      </c>
      <c r="D131" s="10">
        <f>D130*(1-B131)+A131</f>
        <v>40.12630607616211</v>
      </c>
      <c r="E131" s="7">
        <f>D131*ClientRevenue</f>
        <v>6018.945911424316</v>
      </c>
      <c r="F131" s="8">
        <f>IF(MOD(C131-1,3)=0,IF(E130&gt;=TopThreshold,TopRate,IF(E130&gt;=MidThreshold,MidRate,EntryRate))+FoundingBonus,F130)</f>
        <v>0.475</v>
      </c>
      <c r="G131" s="7">
        <f>E131*F131</f>
        <v>2858.99930792655</v>
      </c>
      <c r="H131" s="7">
        <f>H130+G131</f>
        <v>13982.372575125768</v>
      </c>
    </row>
    <row r="132" spans="1:8">
      <c r="A132" s="10">
        <f>A$122</f>
        <v>5</v>
      </c>
      <c r="B132" s="8">
        <f>B$122</f>
        <v>0.05</v>
      </c>
      <c r="C132">
        <v>11</v>
      </c>
      <c r="D132" s="10">
        <f>D131*(1-B132)+A132</f>
        <v>43.119990772354</v>
      </c>
      <c r="E132" s="7">
        <f>D132*ClientRevenue</f>
        <v>6467.9986158531</v>
      </c>
      <c r="F132" s="8">
        <f>IF(MOD(C132-1,3)=0,IF(E131&gt;=TopThreshold,TopRate,IF(E131&gt;=MidThreshold,MidRate,EntryRate))+FoundingBonus,F131)</f>
        <v>0.475</v>
      </c>
      <c r="G132" s="7">
        <f>E132*F132</f>
        <v>3072.2993425302225</v>
      </c>
      <c r="H132" s="7">
        <f>H131+G132</f>
        <v>17054.67191765599</v>
      </c>
    </row>
    <row r="133" spans="1:8">
      <c r="A133" s="10">
        <f>A$122</f>
        <v>5</v>
      </c>
      <c r="B133" s="8">
        <f>B$122</f>
        <v>0.05</v>
      </c>
      <c r="C133">
        <v>12</v>
      </c>
      <c r="D133" s="10">
        <f>D132*(1-B133)+A133</f>
        <v>45.9639912337363</v>
      </c>
      <c r="E133" s="7">
        <f>D133*ClientRevenue</f>
        <v>6894.598685060445</v>
      </c>
      <c r="F133" s="8">
        <f>IF(MOD(C133-1,3)=0,IF(E132&gt;=TopThreshold,TopRate,IF(E132&gt;=MidThreshold,MidRate,EntryRate))+FoundingBonus,F132)</f>
        <v>0.475</v>
      </c>
      <c r="G133" s="7">
        <f>E133*F133</f>
        <v>3274.9343754037113</v>
      </c>
      <c r="H133" s="7">
        <f>H132+G133</f>
        <v>20329.6062930597</v>
      </c>
    </row>
    <row r="134" spans="1:8">
      <c r="A134" s="10">
        <f>A$122</f>
        <v>5</v>
      </c>
      <c r="B134" s="8">
        <f>B$122</f>
        <v>0.05</v>
      </c>
      <c r="C134">
        <v>13</v>
      </c>
      <c r="D134" s="10">
        <f>D133*(1-B134)+A134</f>
        <v>48.66579167204949</v>
      </c>
      <c r="E134" s="7">
        <f>D134*ClientRevenue</f>
        <v>7299.868750807423</v>
      </c>
      <c r="F134" s="8">
        <f>IF(MOD(C134-1,3)=0,IF(E133&gt;=TopThreshold,TopRate,IF(E133&gt;=MidThreshold,MidRate,EntryRate))+FoundingBonus,F133)</f>
        <v>0.475</v>
      </c>
      <c r="G134" s="7">
        <f>E134*F134</f>
        <v>3467.4376566335254</v>
      </c>
      <c r="H134" s="7">
        <f>H133+G134</f>
        <v>23797.043949693227</v>
      </c>
    </row>
    <row r="135" spans="1:8">
      <c r="A135" s="10">
        <f>A$122</f>
        <v>5</v>
      </c>
      <c r="B135" s="8">
        <f>B$122</f>
        <v>0.05</v>
      </c>
      <c r="C135">
        <v>14</v>
      </c>
      <c r="D135" s="10">
        <f>D134*(1-B135)+A135</f>
        <v>51.23250208844701</v>
      </c>
      <c r="E135" s="7">
        <f>D135*ClientRevenue</f>
        <v>7684.875313267052</v>
      </c>
      <c r="F135" s="8">
        <f>IF(MOD(C135-1,3)=0,IF(E134&gt;=TopThreshold,TopRate,IF(E134&gt;=MidThreshold,MidRate,EntryRate))+FoundingBonus,F134)</f>
        <v>0.475</v>
      </c>
      <c r="G135" s="7">
        <f>E135*F135</f>
        <v>3650.3157738018494</v>
      </c>
      <c r="H135" s="7">
        <f>H134+G135</f>
        <v>27447.359723495076</v>
      </c>
    </row>
    <row r="136" spans="1:8">
      <c r="A136" s="10">
        <f>A$122</f>
        <v>5</v>
      </c>
      <c r="B136" s="8">
        <f>B$122</f>
        <v>0.05</v>
      </c>
      <c r="C136">
        <v>15</v>
      </c>
      <c r="D136" s="10">
        <f>D135*(1-B136)+A136</f>
        <v>53.67087698402466</v>
      </c>
      <c r="E136" s="7">
        <f>D136*ClientRevenue</f>
        <v>8050.631547603699</v>
      </c>
      <c r="F136" s="8">
        <f>IF(MOD(C136-1,3)=0,IF(E135&gt;=TopThreshold,TopRate,IF(E135&gt;=MidThreshold,MidRate,EntryRate))+FoundingBonus,F135)</f>
        <v>0.475</v>
      </c>
      <c r="G136" s="7">
        <f>E136*F136</f>
        <v>3824.049985111757</v>
      </c>
      <c r="H136" s="7">
        <f>H135+G136</f>
        <v>31271.409708606832</v>
      </c>
    </row>
    <row r="137" spans="1:8">
      <c r="A137" s="10">
        <f>A$122</f>
        <v>5</v>
      </c>
      <c r="B137" s="8">
        <f>B$122</f>
        <v>0.05</v>
      </c>
      <c r="C137">
        <v>16</v>
      </c>
      <c r="D137" s="10">
        <f>D136*(1-B137)+A137</f>
        <v>55.98733313482342</v>
      </c>
      <c r="E137" s="7">
        <f>D137*ClientRevenue</f>
        <v>8398.099970223513</v>
      </c>
      <c r="F137" s="8">
        <f>IF(MOD(C137-1,3)=0,IF(E136&gt;=TopThreshold,TopRate,IF(E136&gt;=MidThreshold,MidRate,EntryRate))+FoundingBonus,F136)</f>
        <v>0.475</v>
      </c>
      <c r="G137" s="7">
        <f>E137*F137</f>
        <v>3989.0974858561685</v>
      </c>
      <c r="H137" s="7">
        <f>H136+G137</f>
        <v>35260.507194463</v>
      </c>
    </row>
    <row r="138" spans="1:8">
      <c r="A138" s="10">
        <f>A$122</f>
        <v>5</v>
      </c>
      <c r="B138" s="8">
        <f>B$122</f>
        <v>0.05</v>
      </c>
      <c r="C138">
        <v>17</v>
      </c>
      <c r="D138" s="10">
        <f>D137*(1-B138)+A138</f>
        <v>58.18796647808225</v>
      </c>
      <c r="E138" s="7">
        <f>D138*ClientRevenue</f>
        <v>8728.194971712337</v>
      </c>
      <c r="F138" s="8">
        <f>IF(MOD(C138-1,3)=0,IF(E137&gt;=TopThreshold,TopRate,IF(E137&gt;=MidThreshold,MidRate,EntryRate))+FoundingBonus,F137)</f>
        <v>0.475</v>
      </c>
      <c r="G138" s="7">
        <f>E138*F138</f>
        <v>4145.89261156336</v>
      </c>
      <c r="H138" s="7">
        <f>H137+G138</f>
        <v>39406.39980602636</v>
      </c>
    </row>
    <row r="139" spans="1:8">
      <c r="A139" s="10">
        <f>A$122</f>
        <v>5</v>
      </c>
      <c r="B139" s="8">
        <f>B$122</f>
        <v>0.05</v>
      </c>
      <c r="C139">
        <v>18</v>
      </c>
      <c r="D139" s="10">
        <f>D138*(1-B139)+A139</f>
        <v>60.27856815417814</v>
      </c>
      <c r="E139" s="7">
        <f>D139*ClientRevenue</f>
        <v>9041.78522312672</v>
      </c>
      <c r="F139" s="8">
        <f>IF(MOD(C139-1,3)=0,IF(E138&gt;=TopThreshold,TopRate,IF(E138&gt;=MidThreshold,MidRate,EntryRate))+FoundingBonus,F138)</f>
        <v>0.475</v>
      </c>
      <c r="G139" s="7">
        <f>E139*F139</f>
        <v>4294.847980985192</v>
      </c>
      <c r="H139" s="7">
        <f>H138+G139</f>
        <v>43701.247787011554</v>
      </c>
    </row>
    <row r="140" spans="1:8">
      <c r="A140" s="10">
        <f>A$122</f>
        <v>5</v>
      </c>
      <c r="B140" s="8">
        <f>B$122</f>
        <v>0.05</v>
      </c>
      <c r="C140">
        <v>19</v>
      </c>
      <c r="D140" s="10">
        <f>D139*(1-B140)+A140</f>
        <v>62.26463974646923</v>
      </c>
      <c r="E140" s="7">
        <f>D140*ClientRevenue</f>
        <v>9339.695961970385</v>
      </c>
      <c r="F140" s="8">
        <f>IF(MOD(C140-1,3)=0,IF(E139&gt;=TopThreshold,TopRate,IF(E139&gt;=MidThreshold,MidRate,EntryRate))+FoundingBonus,F139)</f>
        <v>0.475</v>
      </c>
      <c r="G140" s="7">
        <f>E140*F140</f>
        <v>4436.355581935933</v>
      </c>
      <c r="H140" s="7">
        <f>H139+G140</f>
        <v>48137.603368947486</v>
      </c>
    </row>
    <row r="141" spans="1:8">
      <c r="A141" s="10">
        <f>A$122</f>
        <v>5</v>
      </c>
      <c r="B141" s="8">
        <f>B$122</f>
        <v>0.05</v>
      </c>
      <c r="C141">
        <v>20</v>
      </c>
      <c r="D141" s="10">
        <f>D140*(1-B141)+A141</f>
        <v>64.15140775914577</v>
      </c>
      <c r="E141" s="7">
        <f>D141*ClientRevenue</f>
        <v>9622.711163871865</v>
      </c>
      <c r="F141" s="8">
        <f>IF(MOD(C141-1,3)=0,IF(E140&gt;=TopThreshold,TopRate,IF(E140&gt;=MidThreshold,MidRate,EntryRate))+FoundingBonus,F140)</f>
        <v>0.475</v>
      </c>
      <c r="G141" s="7">
        <f>E141*F141</f>
        <v>4570.787802839136</v>
      </c>
      <c r="H141" s="7">
        <f>H140+G141</f>
        <v>52708.39117178662</v>
      </c>
    </row>
    <row r="142" spans="1:8">
      <c r="A142" s="10">
        <f>A$122</f>
        <v>5</v>
      </c>
      <c r="B142" s="8">
        <f>B$122</f>
        <v>0.05</v>
      </c>
      <c r="C142">
        <v>21</v>
      </c>
      <c r="D142" s="10">
        <f>D141*(1-B142)+A142</f>
        <v>65.94383737118848</v>
      </c>
      <c r="E142" s="7">
        <f>D142*ClientRevenue</f>
        <v>9891.575605678272</v>
      </c>
      <c r="F142" s="8">
        <f>IF(MOD(C142-1,3)=0,IF(E141&gt;=TopThreshold,TopRate,IF(E141&gt;=MidThreshold,MidRate,EntryRate))+FoundingBonus,F141)</f>
        <v>0.475</v>
      </c>
      <c r="G142" s="7">
        <f>E142*F142</f>
        <v>4698.498412697179</v>
      </c>
      <c r="H142" s="7">
        <f>H141+G142</f>
        <v>57406.8895844838</v>
      </c>
    </row>
    <row r="143" spans="1:8">
      <c r="A143" s="10">
        <f>A$122</f>
        <v>5</v>
      </c>
      <c r="B143" s="8">
        <f>B$122</f>
        <v>0.05</v>
      </c>
      <c r="C143">
        <v>22</v>
      </c>
      <c r="D143" s="10">
        <f>D142*(1-B143)+A143</f>
        <v>67.64664550262904</v>
      </c>
      <c r="E143" s="7">
        <f>D143*ClientRevenue</f>
        <v>10146.996825394357</v>
      </c>
      <c r="F143" s="8">
        <f>IF(MOD(C143-1,3)=0,IF(E142&gt;=TopThreshold,TopRate,IF(E142&gt;=MidThreshold,MidRate,EntryRate))+FoundingBonus,F142)</f>
        <v>0.475</v>
      </c>
      <c r="G143" s="7">
        <f>E143*F143</f>
        <v>4819.823492062319</v>
      </c>
      <c r="H143" s="7">
        <f>H142+G143</f>
        <v>62226.71307654612</v>
      </c>
    </row>
    <row r="144" spans="1:8">
      <c r="A144" s="10">
        <f>A$122</f>
        <v>5</v>
      </c>
      <c r="B144" s="8">
        <f>B$122</f>
        <v>0.05</v>
      </c>
      <c r="C144">
        <v>23</v>
      </c>
      <c r="D144" s="10">
        <f>D143*(1-B144)+A144</f>
        <v>69.26431322749758</v>
      </c>
      <c r="E144" s="7">
        <f>D144*ClientRevenue</f>
        <v>10389.646984124638</v>
      </c>
      <c r="F144" s="8">
        <f>IF(MOD(C144-1,3)=0,IF(E143&gt;=TopThreshold,TopRate,IF(E143&gt;=MidThreshold,MidRate,EntryRate))+FoundingBonus,F143)</f>
        <v>0.475</v>
      </c>
      <c r="G144" s="7">
        <f>E144*F144</f>
        <v>4935.082317459202</v>
      </c>
      <c r="H144" s="7">
        <f>H143+G144</f>
        <v>67161.79539400533</v>
      </c>
    </row>
    <row r="145" spans="1:8">
      <c r="A145" s="10">
        <f>A$122</f>
        <v>5</v>
      </c>
      <c r="B145" s="8">
        <f>B$122</f>
        <v>0.05</v>
      </c>
      <c r="C145">
        <v>24</v>
      </c>
      <c r="D145" s="10">
        <f>D144*(1-B145)+A145</f>
        <v>70.80109756612269</v>
      </c>
      <c r="E145" s="7">
        <f>D145*ClientRevenue</f>
        <v>10620.164634918403</v>
      </c>
      <c r="F145" s="8">
        <f>IF(MOD(C145-1,3)=0,IF(E144&gt;=TopThreshold,TopRate,IF(E144&gt;=MidThreshold,MidRate,EntryRate))+FoundingBonus,F144)</f>
        <v>0.475</v>
      </c>
      <c r="G145" s="7">
        <f>E145*F145</f>
        <v>5044.578201586241</v>
      </c>
      <c r="H145" s="7">
        <f>H144+G145</f>
        <v>72206.37359559156</v>
      </c>
    </row>
    <row r="146" spans="1:8">
      <c r="A146" s="10">
        <f>A$122</f>
        <v>5</v>
      </c>
      <c r="B146" s="8">
        <f>B$122</f>
        <v>0.05</v>
      </c>
      <c r="C146">
        <v>25</v>
      </c>
      <c r="D146" s="10">
        <f>D145*(1-B146)+A146</f>
        <v>72.26104268781656</v>
      </c>
      <c r="E146" s="7">
        <f>D146*ClientRevenue</f>
        <v>10839.156403172483</v>
      </c>
      <c r="F146" s="8">
        <f>IF(MOD(C146-1,3)=0,IF(E145&gt;=TopThreshold,TopRate,IF(E145&gt;=MidThreshold,MidRate,EntryRate))+FoundingBonus,F145)</f>
        <v>0.475</v>
      </c>
      <c r="G146" s="7">
        <f>E146*F146</f>
        <v>5148.599291506929</v>
      </c>
      <c r="H146" s="7">
        <f>H145+G146</f>
        <v>77354.9728870985</v>
      </c>
    </row>
    <row r="147" spans="1:8">
      <c r="A147" s="10">
        <f>A$122</f>
        <v>5</v>
      </c>
      <c r="B147" s="8">
        <f>B$122</f>
        <v>0.05</v>
      </c>
      <c r="C147">
        <v>26</v>
      </c>
      <c r="D147" s="10">
        <f>D146*(1-B147)+A147</f>
        <v>73.64799055342573</v>
      </c>
      <c r="E147" s="7">
        <f>D147*ClientRevenue</f>
        <v>11047.19858301386</v>
      </c>
      <c r="F147" s="8">
        <f>IF(MOD(C147-1,3)=0,IF(E146&gt;=TopThreshold,TopRate,IF(E146&gt;=MidThreshold,MidRate,EntryRate))+FoundingBonus,F146)</f>
        <v>0.475</v>
      </c>
      <c r="G147" s="7">
        <f>E147*F147</f>
        <v>5247.419326931583</v>
      </c>
      <c r="H147" s="7">
        <f>H146+G147</f>
        <v>82602.39221403009</v>
      </c>
    </row>
    <row r="148" spans="1:8">
      <c r="A148" s="10">
        <f>A$122</f>
        <v>5</v>
      </c>
      <c r="B148" s="8">
        <f>B$122</f>
        <v>0.05</v>
      </c>
      <c r="C148">
        <v>27</v>
      </c>
      <c r="D148" s="10">
        <f>D147*(1-B148)+A148</f>
        <v>74.96559102575443</v>
      </c>
      <c r="E148" s="7">
        <f>D148*ClientRevenue</f>
        <v>11244.838653863166</v>
      </c>
      <c r="F148" s="8">
        <f>IF(MOD(C148-1,3)=0,IF(E147&gt;=TopThreshold,TopRate,IF(E147&gt;=MidThreshold,MidRate,EntryRate))+FoundingBonus,F147)</f>
        <v>0.475</v>
      </c>
      <c r="G148" s="7">
        <f>E148*F148</f>
        <v>5341.298360585003</v>
      </c>
      <c r="H148" s="7">
        <f>H147+G148</f>
        <v>87943.69057461509</v>
      </c>
    </row>
    <row r="149" spans="1:8">
      <c r="A149" s="10">
        <f>A$122</f>
        <v>5</v>
      </c>
      <c r="B149" s="8">
        <f>B$122</f>
        <v>0.05</v>
      </c>
      <c r="C149">
        <v>28</v>
      </c>
      <c r="D149" s="10">
        <f>D148*(1-B149)+A149</f>
        <v>76.21731147446671</v>
      </c>
      <c r="E149" s="7">
        <f>D149*ClientRevenue</f>
        <v>11432.596721170006</v>
      </c>
      <c r="F149" s="8">
        <f>IF(MOD(C149-1,3)=0,IF(E148&gt;=TopThreshold,TopRate,IF(E148&gt;=MidThreshold,MidRate,EntryRate))+FoundingBonus,F148)</f>
        <v>0.475</v>
      </c>
      <c r="G149" s="7">
        <f>E149*F149</f>
        <v>5430.483442555753</v>
      </c>
      <c r="H149" s="7">
        <f>H148+G149</f>
        <v>93374.17401717084</v>
      </c>
    </row>
    <row r="150" spans="1:8">
      <c r="A150" s="10">
        <f>A$122</f>
        <v>5</v>
      </c>
      <c r="B150" s="8">
        <f>B$122</f>
        <v>0.05</v>
      </c>
      <c r="C150">
        <v>29</v>
      </c>
      <c r="D150" s="10">
        <f>D149*(1-B150)+A150</f>
        <v>77.40644590074338</v>
      </c>
      <c r="E150" s="7">
        <f>D150*ClientRevenue</f>
        <v>11610.966885111508</v>
      </c>
      <c r="F150" s="8">
        <f>IF(MOD(C150-1,3)=0,IF(E149&gt;=TopThreshold,TopRate,IF(E149&gt;=MidThreshold,MidRate,EntryRate))+FoundingBonus,F149)</f>
        <v>0.475</v>
      </c>
      <c r="G150" s="7">
        <f>E150*F150</f>
        <v>5515.209270427966</v>
      </c>
      <c r="H150" s="7">
        <f>H149+G150</f>
        <v>98889.3832875988</v>
      </c>
    </row>
    <row r="151" spans="1:8">
      <c r="A151" s="10">
        <f>A$122</f>
        <v>5</v>
      </c>
      <c r="B151" s="8">
        <f>B$122</f>
        <v>0.05</v>
      </c>
      <c r="C151">
        <v>30</v>
      </c>
      <c r="D151" s="10">
        <f>D150*(1-B151)+A151</f>
        <v>78.53612360570621</v>
      </c>
      <c r="E151" s="7">
        <f>D151*ClientRevenue</f>
        <v>11780.418540855931</v>
      </c>
      <c r="F151" s="8">
        <f>IF(MOD(C151-1,3)=0,IF(E150&gt;=TopThreshold,TopRate,IF(E150&gt;=MidThreshold,MidRate,EntryRate))+FoundingBonus,F150)</f>
        <v>0.475</v>
      </c>
      <c r="G151" s="7">
        <f>E151*F151</f>
        <v>5595.698806906567</v>
      </c>
      <c r="H151" s="7">
        <f>H150+G151</f>
        <v>104485.08209450537</v>
      </c>
    </row>
    <row r="152" spans="1:8">
      <c r="A152" s="10">
        <f>A$122</f>
        <v>5</v>
      </c>
      <c r="B152" s="8">
        <f>B$122</f>
        <v>0.05</v>
      </c>
      <c r="C152">
        <v>31</v>
      </c>
      <c r="D152" s="10">
        <f>D151*(1-B152)+A152</f>
        <v>79.6093174254209</v>
      </c>
      <c r="E152" s="7">
        <f>D152*ClientRevenue</f>
        <v>11941.397613813135</v>
      </c>
      <c r="F152" s="8">
        <f>IF(MOD(C152-1,3)=0,IF(E151&gt;=TopThreshold,TopRate,IF(E151&gt;=MidThreshold,MidRate,EntryRate))+FoundingBonus,F151)</f>
        <v>0.475</v>
      </c>
      <c r="G152" s="7">
        <f>E152*F152</f>
        <v>5672.163866561239</v>
      </c>
      <c r="H152" s="7">
        <f>H151+G152</f>
        <v>110157.24596106661</v>
      </c>
    </row>
    <row r="153" spans="1:8">
      <c r="A153" s="10">
        <f>A$122</f>
        <v>5</v>
      </c>
      <c r="B153" s="8">
        <f>B$122</f>
        <v>0.05</v>
      </c>
      <c r="C153">
        <v>32</v>
      </c>
      <c r="D153" s="10">
        <f>D152*(1-B153)+A153</f>
        <v>80.62885155414985</v>
      </c>
      <c r="E153" s="7">
        <f>D153*ClientRevenue</f>
        <v>12094.327733122476</v>
      </c>
      <c r="F153" s="8">
        <f>IF(MOD(C153-1,3)=0,IF(E152&gt;=TopThreshold,TopRate,IF(E152&gt;=MidThreshold,MidRate,EntryRate))+FoundingBonus,F152)</f>
        <v>0.475</v>
      </c>
      <c r="G153" s="7">
        <f>E153*F153</f>
        <v>5744.805673233176</v>
      </c>
      <c r="H153" s="7">
        <f>H152+G153</f>
        <v>115902.05163429979</v>
      </c>
    </row>
    <row r="154" spans="1:8">
      <c r="A154" s="10">
        <f>A$122</f>
        <v>5</v>
      </c>
      <c r="B154" s="8">
        <f>B$122</f>
        <v>0.05</v>
      </c>
      <c r="C154">
        <v>33</v>
      </c>
      <c r="D154" s="10">
        <f>D153*(1-B154)+A154</f>
        <v>81.59740897644235</v>
      </c>
      <c r="E154" s="7">
        <f>D154*ClientRevenue</f>
        <v>12239.611346466352</v>
      </c>
      <c r="F154" s="8">
        <f>IF(MOD(C154-1,3)=0,IF(E153&gt;=TopThreshold,TopRate,IF(E153&gt;=MidThreshold,MidRate,EntryRate))+FoundingBonus,F153)</f>
        <v>0.475</v>
      </c>
      <c r="G154" s="7">
        <f>E154*F154</f>
        <v>5813.815389571517</v>
      </c>
      <c r="H154" s="7">
        <f>H153+G154</f>
        <v>121715.86702387131</v>
      </c>
    </row>
    <row r="155" spans="1:8">
      <c r="A155" s="10">
        <f>A$122</f>
        <v>5</v>
      </c>
      <c r="B155" s="8">
        <f>B$122</f>
        <v>0.05</v>
      </c>
      <c r="C155">
        <v>34</v>
      </c>
      <c r="D155" s="10">
        <f>D154*(1-B155)+A155</f>
        <v>82.51753852762023</v>
      </c>
      <c r="E155" s="7">
        <f>D155*ClientRevenue</f>
        <v>12377.630779143035</v>
      </c>
      <c r="F155" s="8">
        <f>IF(MOD(C155-1,3)=0,IF(E154&gt;=TopThreshold,TopRate,IF(E154&gt;=MidThreshold,MidRate,EntryRate))+FoundingBonus,F154)</f>
        <v>0.475</v>
      </c>
      <c r="G155" s="7">
        <f>E155*F155</f>
        <v>5879.374620092942</v>
      </c>
      <c r="H155" s="7">
        <f>H154+G155</f>
        <v>127595.24164396425</v>
      </c>
    </row>
    <row r="156" spans="1:8">
      <c r="A156" s="10">
        <f>A$122</f>
        <v>5</v>
      </c>
      <c r="B156" s="8">
        <f>B$122</f>
        <v>0.05</v>
      </c>
      <c r="C156">
        <v>35</v>
      </c>
      <c r="D156" s="10">
        <f>D155*(1-B156)+A156</f>
        <v>83.39166160123922</v>
      </c>
      <c r="E156" s="7">
        <f>D156*ClientRevenue</f>
        <v>12508.749240185884</v>
      </c>
      <c r="F156" s="8">
        <f>IF(MOD(C156-1,3)=0,IF(E155&gt;=TopThreshold,TopRate,IF(E155&gt;=MidThreshold,MidRate,EntryRate))+FoundingBonus,F155)</f>
        <v>0.475</v>
      </c>
      <c r="G156" s="7">
        <f>E156*F156</f>
        <v>5941.655889088294</v>
      </c>
      <c r="H156" s="7">
        <f>H155+G156</f>
        <v>133536.89753305254</v>
      </c>
    </row>
    <row r="157" spans="1:8">
      <c r="A157" s="10">
        <f>A$122</f>
        <v>5</v>
      </c>
      <c r="B157" s="8">
        <f>B$122</f>
        <v>0.05</v>
      </c>
      <c r="C157">
        <v>36</v>
      </c>
      <c r="D157" s="10">
        <f>D156*(1-B157)+A157</f>
        <v>84.22207852117725</v>
      </c>
      <c r="E157" s="7">
        <f>D157*ClientRevenue</f>
        <v>12633.311778176589</v>
      </c>
      <c r="F157" s="8">
        <f>IF(MOD(C157-1,3)=0,IF(E156&gt;=TopThreshold,TopRate,IF(E156&gt;=MidThreshold,MidRate,EntryRate))+FoundingBonus,F156)</f>
        <v>0.475</v>
      </c>
      <c r="G157" s="7">
        <f>E157*F157</f>
        <v>6000.823094633879</v>
      </c>
      <c r="H157" s="7">
        <f>H156+G157</f>
        <v>139537.72062768642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8" width="18.7109375" customWidth="1"/>
  </cols>
  <sheetData>
    <row r="1" spans="1:8">
      <c r="A1" s="1" t="s">
        <v>108</v>
      </c>
      <c r="B1" s="1"/>
      <c r="C1" s="1"/>
      <c r="D1" s="1"/>
      <c r="E1" s="1"/>
      <c r="F1" s="1"/>
      <c r="G1" s="1"/>
      <c r="H1" s="1"/>
    </row>
    <row r="2" spans="1:8" ht="44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32" customHeight="1">
      <c r="A4" s="3" t="s">
        <v>109</v>
      </c>
      <c r="B4" s="3" t="s">
        <v>100</v>
      </c>
      <c r="C4" s="3" t="s">
        <v>110</v>
      </c>
      <c r="D4" s="3" t="s">
        <v>111</v>
      </c>
      <c r="E4" s="3" t="s">
        <v>112</v>
      </c>
      <c r="F4" s="3" t="s">
        <v>113</v>
      </c>
      <c r="G4" s="3" t="s">
        <v>114</v>
      </c>
      <c r="H4" s="3" t="s">
        <v>115</v>
      </c>
    </row>
    <row r="5" spans="1:8">
      <c r="A5" s="6">
        <v>0.25</v>
      </c>
      <c r="B5" s="7">
        <f>MatureClients*ClientRevenue</f>
        <v>7500</v>
      </c>
      <c r="C5" s="7">
        <f>B5*(IF(B5&gt;=TopThreshold,TopRate,IF(B5&gt;=MidThreshold,MidRate,EntryRate))+FoundingBonus)</f>
        <v>3562.5</v>
      </c>
      <c r="D5" s="10">
        <f>MatureClients*MonthlyChurn</f>
        <v>1.5</v>
      </c>
      <c r="E5" s="10">
        <f>MatureClients*A5+D5*AcquisitionHours+AdminHours</f>
        <v>34.5</v>
      </c>
      <c r="F5" s="7">
        <f>MonthlyExpenses+D5*CashCAC</f>
        <v>350</v>
      </c>
      <c r="G5" s="7">
        <f>C5-F5</f>
        <v>3212.5</v>
      </c>
      <c r="H5" s="7">
        <f>IF(E5&gt;0,G5/E5,0)</f>
        <v>93.1159420289855</v>
      </c>
    </row>
    <row r="6" spans="1:8">
      <c r="A6" s="6">
        <v>1</v>
      </c>
      <c r="B6" s="7">
        <f>MatureClients*ClientRevenue</f>
        <v>7500</v>
      </c>
      <c r="C6" s="7">
        <f>B6*(IF(B6&gt;=TopThreshold,TopRate,IF(B6&gt;=MidThreshold,MidRate,EntryRate))+FoundingBonus)</f>
        <v>3562.5</v>
      </c>
      <c r="D6" s="10">
        <f>MatureClients*MonthlyChurn</f>
        <v>1.5</v>
      </c>
      <c r="E6" s="10">
        <f>MatureClients*A6+D6*AcquisitionHours+AdminHours</f>
        <v>72.0</v>
      </c>
      <c r="F6" s="7">
        <f>MonthlyExpenses+D6*CashCAC</f>
        <v>350</v>
      </c>
      <c r="G6" s="7">
        <f>C6-F6</f>
        <v>3212.5</v>
      </c>
      <c r="H6" s="7">
        <f>IF(E6&gt;0,G6/E6,0)</f>
        <v>44.61805555555556</v>
      </c>
    </row>
    <row r="7" spans="1:8">
      <c r="A7" s="6">
        <v>2</v>
      </c>
      <c r="B7" s="7">
        <f>MatureClients*ClientRevenue</f>
        <v>7500</v>
      </c>
      <c r="C7" s="7">
        <f>B7*(IF(B7&gt;=TopThreshold,TopRate,IF(B7&gt;=MidThreshold,MidRate,EntryRate))+FoundingBonus)</f>
        <v>3562.5</v>
      </c>
      <c r="D7" s="10">
        <f>MatureClients*MonthlyChurn</f>
        <v>1.5</v>
      </c>
      <c r="E7" s="10">
        <f>MatureClients*A7+D7*AcquisitionHours+AdminHours</f>
        <v>122.0</v>
      </c>
      <c r="F7" s="7">
        <f>MonthlyExpenses+D7*CashCAC</f>
        <v>350</v>
      </c>
      <c r="G7" s="7">
        <f>C7-F7</f>
        <v>3212.5</v>
      </c>
      <c r="H7" s="7">
        <f>IF(E7&gt;0,G7/E7,0)</f>
        <v>26.331967213114755</v>
      </c>
    </row>
    <row r="10" spans="1:8">
      <c r="A10" s="10">
        <f>SupportHours</f>
        <v>1</v>
      </c>
      <c r="B10" s="7">
        <f>MatureClients*ClientRevenue</f>
        <v>7500</v>
      </c>
      <c r="C10" s="7">
        <f>B10*(IF(B10&gt;=TopThreshold,TopRate,IF(B10&gt;=MidThreshold,MidRate,EntryRate))+FoundingBonus)</f>
        <v>3562.5</v>
      </c>
      <c r="D10" s="10">
        <f>MatureClients*MonthlyChurn</f>
        <v>1.5</v>
      </c>
      <c r="E10" s="10">
        <f>MatureClients*A10+D10*AcquisitionHours+AdminHours</f>
        <v>72</v>
      </c>
      <c r="F10" s="7">
        <f>MonthlyExpenses+D10*CashCAC</f>
        <v>350</v>
      </c>
      <c r="G10" s="7">
        <f>C10-F10</f>
        <v>3212.5</v>
      </c>
      <c r="H10" s="7">
        <f>IF(E10&gt;0,G10/E10,0)</f>
        <v>44.61805555555556</v>
      </c>
    </row>
    <row r="12" spans="1:8">
      <c r="A12" s="2" t="s">
        <v>116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9" width="18.7109375" customWidth="1"/>
  </cols>
  <sheetData>
    <row r="1" spans="1:9">
      <c r="A1" s="1" t="s">
        <v>117</v>
      </c>
      <c r="B1" s="1"/>
      <c r="C1" s="1"/>
      <c r="D1" s="1"/>
      <c r="E1" s="1"/>
      <c r="F1" s="1"/>
      <c r="G1" s="1"/>
      <c r="H1" s="1"/>
      <c r="I1" s="1"/>
    </row>
    <row r="2" spans="1:9" ht="44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32" customHeight="1">
      <c r="A4" s="3" t="s">
        <v>118</v>
      </c>
      <c r="B4" s="3" t="s">
        <v>119</v>
      </c>
      <c r="C4" s="3" t="s">
        <v>120</v>
      </c>
      <c r="D4" s="3" t="s">
        <v>121</v>
      </c>
      <c r="E4" s="3" t="s">
        <v>122</v>
      </c>
      <c r="F4" s="3" t="s">
        <v>123</v>
      </c>
      <c r="G4" s="3" t="s">
        <v>124</v>
      </c>
      <c r="H4" s="3" t="s">
        <v>125</v>
      </c>
      <c r="I4" s="3" t="s">
        <v>126</v>
      </c>
    </row>
    <row r="5" spans="1:9">
      <c r="A5" s="7">
        <f>MidThreshold</f>
        <v>2200</v>
      </c>
      <c r="B5" s="9">
        <f>ROUNDUP(A5/ClientRevenue,0)</f>
        <v>15</v>
      </c>
      <c r="C5" s="9">
        <f>MAX(0,B5-1)</f>
        <v>14</v>
      </c>
      <c r="D5" s="7">
        <f>B5*ClientRevenue</f>
        <v>2250</v>
      </c>
      <c r="E5" s="7">
        <f>C5*ClientRevenue</f>
        <v>2100</v>
      </c>
      <c r="F5" s="7">
        <f>D5*(IF(D5&gt;=TopThreshold,TopRate,IF(D5&gt;=MidThreshold,MidRate,EntryRate))+FoundingBonus)</f>
        <v>900.0</v>
      </c>
      <c r="G5" s="7">
        <f>E5*(IF(E5&gt;=TopThreshold,TopRate,IF(E5&gt;=MidThreshold,MidRate,EntryRate))+FoundingBonus)</f>
        <v>735.0</v>
      </c>
      <c r="H5" s="7">
        <f>F5-G5</f>
        <v>165.0</v>
      </c>
      <c r="I5" s="8">
        <f>IF(F5&gt;0,H5/F5,0)</f>
        <v>0.18333333333333332</v>
      </c>
    </row>
    <row r="6" spans="1:9">
      <c r="A6" s="7">
        <f>TopThreshold</f>
        <v>5000</v>
      </c>
      <c r="B6" s="9">
        <f>ROUNDUP(A6/ClientRevenue,0)</f>
        <v>34</v>
      </c>
      <c r="C6" s="9">
        <f>MAX(0,B6-1)</f>
        <v>33</v>
      </c>
      <c r="D6" s="7">
        <f>B6*ClientRevenue</f>
        <v>5100</v>
      </c>
      <c r="E6" s="7">
        <f>C6*ClientRevenue</f>
        <v>4950</v>
      </c>
      <c r="F6" s="7">
        <f>D6*(IF(D6&gt;=TopThreshold,TopRate,IF(D6&gt;=MidThreshold,MidRate,EntryRate))+FoundingBonus)</f>
        <v>2422.5</v>
      </c>
      <c r="G6" s="7">
        <f>E6*(IF(E6&gt;=TopThreshold,TopRate,IF(E6&gt;=MidThreshold,MidRate,EntryRate))+FoundingBonus)</f>
        <v>1980.0</v>
      </c>
      <c r="H6" s="7">
        <f>F6-G6</f>
        <v>442.5</v>
      </c>
      <c r="I6" s="8">
        <f>IF(F6&gt;0,H6/F6,0)</f>
        <v>0.1826625386996904</v>
      </c>
    </row>
  </sheetData>
  <mergeCells count="2">
    <mergeCell ref="A1:I1"/>
    <mergeCell ref="A2:I2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5" width="18.7109375" customWidth="1"/>
  </cols>
  <sheetData>
    <row r="1" spans="1:5">
      <c r="A1" s="1" t="s">
        <v>16</v>
      </c>
      <c r="B1" s="1"/>
      <c r="C1" s="1"/>
      <c r="D1" s="1"/>
      <c r="E1" s="1"/>
    </row>
    <row r="2" spans="1:5" ht="44" customHeight="1">
      <c r="A2" s="2" t="s">
        <v>1</v>
      </c>
      <c r="B2" s="2"/>
      <c r="C2" s="2"/>
      <c r="D2" s="2"/>
      <c r="E2" s="2"/>
    </row>
    <row r="4" spans="1:5" ht="32" customHeight="1">
      <c r="A4" s="3" t="s">
        <v>127</v>
      </c>
      <c r="B4" s="3" t="s">
        <v>128</v>
      </c>
      <c r="C4" s="3" t="s">
        <v>129</v>
      </c>
      <c r="D4" s="3" t="s">
        <v>130</v>
      </c>
      <c r="E4" s="3" t="s">
        <v>131</v>
      </c>
    </row>
    <row r="5" spans="1:5">
      <c r="A5">
        <v>0</v>
      </c>
      <c r="B5" s="7">
        <f>MatureClients*ClientRevenue*ResidualRate*(1-0.01)^A5</f>
        <v>1500.0</v>
      </c>
      <c r="C5" s="7">
        <f>MatureClients*ClientRevenue*ResidualRate*(1-0.03)^A5</f>
        <v>1500.0</v>
      </c>
      <c r="D5" s="7">
        <f>MatureClients*ClientRevenue*ResidualRate*(1-0.05)^A5</f>
        <v>1500.0</v>
      </c>
      <c r="E5" s="7">
        <f>MatureClients*ClientRevenue*ResidualRate*(1-MonthlyChurn)^A5</f>
        <v>1500.0</v>
      </c>
    </row>
    <row r="6" spans="1:5">
      <c r="A6">
        <v>12</v>
      </c>
      <c r="B6" s="7">
        <f>MatureClients*ClientRevenue*ResidualRate*(1-0.01)^A6</f>
        <v>1329.5773075741938</v>
      </c>
      <c r="C6" s="7">
        <f>MatureClients*ClientRevenue*ResidualRate*(1-0.03)^A6</f>
        <v>1040.7635414931565</v>
      </c>
      <c r="D6" s="7">
        <f>MatureClients*ClientRevenue*ResidualRate*(1-0.05)^A6</f>
        <v>810.540131493955</v>
      </c>
      <c r="E6" s="7">
        <f>MatureClients*ClientRevenue*ResidualRate*(1-MonthlyChurn)^A6</f>
        <v>1040.7635414931565</v>
      </c>
    </row>
    <row r="7" spans="1:5">
      <c r="A7">
        <v>24</v>
      </c>
      <c r="B7" s="7">
        <f>MatureClients*ClientRevenue*ResidualRate*(1-0.01)^A7</f>
        <v>1178.5172112108282</v>
      </c>
      <c r="C7" s="7">
        <f>MatureClients*ClientRevenue*ResidualRate*(1-0.03)^A7</f>
        <v>722.125832867585</v>
      </c>
      <c r="D7" s="7">
        <f>MatureClients*ClientRevenue*ResidualRate*(1-0.05)^A7</f>
        <v>437.9835365081586</v>
      </c>
      <c r="E7" s="7">
        <f>MatureClients*ClientRevenue*ResidualRate*(1-MonthlyChurn)^A7</f>
        <v>722.125832867585</v>
      </c>
    </row>
    <row r="8" spans="1:5">
      <c r="A8">
        <v>36</v>
      </c>
      <c r="B8" s="7">
        <f>MatureClients*ClientRevenue*ResidualRate*(1-0.01)^A8</f>
        <v>1044.6198270743603</v>
      </c>
      <c r="C8" s="7">
        <f>MatureClients*ClientRevenue*ResidualRate*(1-0.03)^A8</f>
        <v>501.0414928126421</v>
      </c>
      <c r="D8" s="7">
        <f>MatureClients*ClientRevenue*ResidualRate*(1-0.05)^A8</f>
        <v>236.6688221823402</v>
      </c>
      <c r="E8" s="7">
        <f>MatureClients*ClientRevenue*ResidualRate*(1-MonthlyChurn)^A8</f>
        <v>501.0414928126421</v>
      </c>
    </row>
    <row r="9" spans="1:5">
      <c r="A9">
        <v>60</v>
      </c>
      <c r="B9" s="7">
        <f>MatureClients*ClientRevenue*ResidualRate*(1-0.01)^A9</f>
        <v>820.7349635861418</v>
      </c>
      <c r="C9" s="7">
        <f>MatureClients*ClientRevenue*ResidualRate*(1-0.03)^A9</f>
        <v>241.21000353236488</v>
      </c>
      <c r="D9" s="7">
        <f>MatureClients*ClientRevenue*ResidualRate*(1-0.05)^A9</f>
        <v>69.10469848042791</v>
      </c>
      <c r="E9" s="7">
        <f>MatureClients*ClientRevenue*ResidualRate*(1-MonthlyChurn)^A9</f>
        <v>241.21000353236488</v>
      </c>
    </row>
  </sheetData>
  <mergeCells count="2">
    <mergeCell ref="A1:E1"/>
    <mergeCell ref="A2:E2"/>
  </mergeCells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8" width="18.7109375" customWidth="1"/>
  </cols>
  <sheetData>
    <row r="1" spans="1:8">
      <c r="A1" s="1" t="s">
        <v>132</v>
      </c>
      <c r="B1" s="1"/>
      <c r="C1" s="1"/>
      <c r="D1" s="1"/>
      <c r="E1" s="1"/>
      <c r="F1" s="1"/>
      <c r="G1" s="1"/>
      <c r="H1" s="1"/>
    </row>
    <row r="2" spans="1:8" ht="44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32" customHeight="1">
      <c r="A4" s="3" t="s">
        <v>133</v>
      </c>
      <c r="B4" s="3" t="s">
        <v>134</v>
      </c>
      <c r="C4" s="3" t="s">
        <v>135</v>
      </c>
      <c r="D4" s="3" t="s">
        <v>136</v>
      </c>
      <c r="E4" s="3" t="s">
        <v>137</v>
      </c>
      <c r="F4" s="3" t="s">
        <v>138</v>
      </c>
      <c r="G4" s="3" t="s">
        <v>139</v>
      </c>
      <c r="H4" s="3" t="s">
        <v>140</v>
      </c>
    </row>
    <row r="5" spans="1:8">
      <c r="A5" s="4">
        <v>25</v>
      </c>
      <c r="B5" s="6">
        <v>40</v>
      </c>
      <c r="C5" s="6">
        <v>52</v>
      </c>
      <c r="D5" s="4">
        <v>150</v>
      </c>
      <c r="E5" s="6">
        <v>8</v>
      </c>
      <c r="F5" s="7">
        <f>A5*B5*C5</f>
        <v>52000</v>
      </c>
      <c r="G5" s="7">
        <f>D5*E5*12</f>
        <v>14400</v>
      </c>
      <c r="H5" s="7">
        <f>F5+G5</f>
        <v>66400</v>
      </c>
    </row>
    <row r="6" spans="1:8">
      <c r="A6" s="4">
        <v>30</v>
      </c>
      <c r="B6" s="6">
        <v>40</v>
      </c>
      <c r="C6" s="6">
        <v>52</v>
      </c>
      <c r="D6" s="4">
        <v>200</v>
      </c>
      <c r="E6" s="6">
        <v>10</v>
      </c>
      <c r="F6" s="7">
        <f>A6*B6*C6</f>
        <v>62400</v>
      </c>
      <c r="G6" s="7">
        <f>D6*E6*12</f>
        <v>24000</v>
      </c>
      <c r="H6" s="7">
        <f>F6+G6</f>
        <v>86400</v>
      </c>
    </row>
    <row r="9" spans="1:8">
      <c r="A9" s="7">
        <f>EmployeeHourly</f>
        <v>30</v>
      </c>
      <c r="B9" s="10">
        <f>HoursPerWeek</f>
        <v>40</v>
      </c>
      <c r="C9" s="10">
        <f>PaidWeeks</f>
        <v>52</v>
      </c>
      <c r="D9" s="7">
        <f>CommissionPerSale</f>
        <v>200</v>
      </c>
      <c r="E9" s="10">
        <f>EmployeeSalesMonth</f>
        <v>10</v>
      </c>
      <c r="F9" s="7">
        <f>A9*B9*C9</f>
        <v>62400</v>
      </c>
      <c r="G9" s="7">
        <f>D9*E9*12</f>
        <v>24000</v>
      </c>
      <c r="H9" s="7">
        <f>F9+G9</f>
        <v>86400</v>
      </c>
    </row>
    <row r="12" spans="1:8" ht="32" customHeight="1">
      <c r="A12" s="2" t="s">
        <v>141</v>
      </c>
      <c r="D12" s="7">
        <f>IF(EmployeeSalesMonth&gt;0,H9/(EmployeeSalesMonth*12),0)</f>
        <v>720</v>
      </c>
    </row>
    <row r="13" spans="1:8" ht="32" customHeight="1">
      <c r="A13" s="2" t="s">
        <v>142</v>
      </c>
      <c r="D13" s="10">
        <f>IF(DirectContribution&gt;0,D12/DirectContribution,0)</f>
        <v>7.2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35.7109375" customWidth="1"/>
    <col min="3" max="3" width="28.7109375" customWidth="1"/>
    <col min="4" max="4" width="65.7109375" customWidth="1"/>
    <col min="5" max="5" width="70.7109375" customWidth="1"/>
  </cols>
  <sheetData>
    <row r="1" spans="1:5">
      <c r="A1" s="1" t="s">
        <v>143</v>
      </c>
      <c r="B1" s="1"/>
      <c r="C1" s="1"/>
      <c r="D1" s="1"/>
      <c r="E1" s="1"/>
    </row>
    <row r="2" spans="1:5" ht="44" customHeight="1">
      <c r="A2" s="2" t="s">
        <v>1</v>
      </c>
      <c r="B2" s="2"/>
      <c r="C2" s="2"/>
      <c r="D2" s="2"/>
      <c r="E2" s="2"/>
    </row>
    <row r="4" spans="1:5" ht="32" customHeight="1">
      <c r="A4" s="3" t="s">
        <v>144</v>
      </c>
      <c r="B4" s="3" t="s">
        <v>145</v>
      </c>
      <c r="C4" s="3" t="s">
        <v>146</v>
      </c>
      <c r="D4" s="3" t="s">
        <v>147</v>
      </c>
      <c r="E4" s="3" t="s">
        <v>148</v>
      </c>
    </row>
    <row r="5" spans="1:5" ht="42" customHeight="1">
      <c r="A5" s="2" t="s">
        <v>149</v>
      </c>
      <c r="B5" s="2" t="s">
        <v>150</v>
      </c>
      <c r="C5" s="2" t="s">
        <v>151</v>
      </c>
      <c r="D5" s="2" t="s">
        <v>152</v>
      </c>
      <c r="E5" s="2" t="s">
        <v>153</v>
      </c>
    </row>
    <row r="6" spans="1:5" ht="42" customHeight="1">
      <c r="A6" s="2" t="s">
        <v>154</v>
      </c>
      <c r="B6" s="2" t="s">
        <v>155</v>
      </c>
      <c r="C6" s="2" t="s">
        <v>156</v>
      </c>
      <c r="D6" s="2" t="s">
        <v>157</v>
      </c>
      <c r="E6" s="2" t="s">
        <v>158</v>
      </c>
    </row>
    <row r="7" spans="1:5" ht="42" customHeight="1">
      <c r="A7" s="2" t="s">
        <v>159</v>
      </c>
      <c r="B7" s="2" t="s">
        <v>160</v>
      </c>
      <c r="C7" s="2" t="s">
        <v>156</v>
      </c>
      <c r="D7" s="2" t="s">
        <v>161</v>
      </c>
      <c r="E7" s="2" t="s">
        <v>162</v>
      </c>
    </row>
    <row r="8" spans="1:5" ht="42" customHeight="1">
      <c r="A8" s="2" t="s">
        <v>163</v>
      </c>
      <c r="B8" s="2" t="s">
        <v>164</v>
      </c>
      <c r="C8" s="2" t="s">
        <v>156</v>
      </c>
      <c r="D8" s="2" t="s">
        <v>165</v>
      </c>
      <c r="E8" s="2" t="s">
        <v>166</v>
      </c>
    </row>
    <row r="9" spans="1:5" ht="42" customHeight="1">
      <c r="A9" s="2" t="s">
        <v>167</v>
      </c>
      <c r="B9" s="2" t="s">
        <v>168</v>
      </c>
      <c r="C9" s="2" t="s">
        <v>156</v>
      </c>
      <c r="D9" s="2" t="s">
        <v>169</v>
      </c>
      <c r="E9" s="2" t="s">
        <v>170</v>
      </c>
    </row>
    <row r="10" spans="1:5" ht="42" customHeight="1">
      <c r="A10" s="2" t="s">
        <v>171</v>
      </c>
      <c r="B10" s="2" t="s">
        <v>172</v>
      </c>
      <c r="C10" s="2" t="s">
        <v>156</v>
      </c>
      <c r="D10" s="2" t="s">
        <v>173</v>
      </c>
      <c r="E10" s="2" t="s">
        <v>174</v>
      </c>
    </row>
    <row r="11" spans="1:5" ht="42" customHeight="1">
      <c r="A11" s="2" t="s">
        <v>175</v>
      </c>
      <c r="B11" s="2" t="s">
        <v>176</v>
      </c>
      <c r="C11" s="2" t="s">
        <v>177</v>
      </c>
      <c r="D11" s="2" t="s">
        <v>178</v>
      </c>
      <c r="E11" s="2" t="s">
        <v>179</v>
      </c>
    </row>
    <row r="12" spans="1:5" ht="42" customHeight="1">
      <c r="A12" s="2" t="s">
        <v>180</v>
      </c>
      <c r="B12" s="2" t="s">
        <v>181</v>
      </c>
      <c r="C12" s="2" t="s">
        <v>156</v>
      </c>
      <c r="D12" s="2" t="s">
        <v>182</v>
      </c>
      <c r="E12" s="2" t="s">
        <v>183</v>
      </c>
    </row>
    <row r="13" spans="1:5" ht="42" customHeight="1">
      <c r="A13" s="2" t="s">
        <v>184</v>
      </c>
      <c r="B13" s="2" t="s">
        <v>185</v>
      </c>
      <c r="C13" s="2" t="s">
        <v>186</v>
      </c>
      <c r="D13" s="2" t="s">
        <v>187</v>
      </c>
      <c r="E13" s="2" t="s">
        <v>188</v>
      </c>
    </row>
    <row r="14" spans="1:5" ht="42" customHeight="1">
      <c r="A14" s="2" t="s">
        <v>189</v>
      </c>
      <c r="B14" s="2" t="s">
        <v>190</v>
      </c>
      <c r="C14" s="2" t="s">
        <v>191</v>
      </c>
      <c r="D14" s="2" t="s">
        <v>192</v>
      </c>
      <c r="E14" s="2" t="s">
        <v>193</v>
      </c>
    </row>
    <row r="15" spans="1:5" ht="42" customHeight="1">
      <c r="A15" s="2" t="s">
        <v>194</v>
      </c>
      <c r="B15" s="2" t="s">
        <v>195</v>
      </c>
      <c r="C15" s="2" t="s">
        <v>196</v>
      </c>
      <c r="D15" s="2" t="s">
        <v>197</v>
      </c>
      <c r="E15" s="2" t="s">
        <v>198</v>
      </c>
    </row>
    <row r="16" spans="1:5" ht="42" customHeight="1">
      <c r="A16" s="2" t="s">
        <v>199</v>
      </c>
      <c r="B16" s="2" t="s">
        <v>200</v>
      </c>
      <c r="C16" s="2" t="s">
        <v>156</v>
      </c>
      <c r="D16" s="2" t="s">
        <v>201</v>
      </c>
      <c r="E16" s="2" t="s">
        <v>202</v>
      </c>
    </row>
    <row r="17" spans="1:5" ht="42" customHeight="1">
      <c r="A17" s="2" t="s">
        <v>203</v>
      </c>
      <c r="B17" s="2" t="s">
        <v>204</v>
      </c>
      <c r="C17" s="2" t="s">
        <v>205</v>
      </c>
      <c r="D17" s="2" t="s">
        <v>206</v>
      </c>
      <c r="E17" s="2" t="s">
        <v>207</v>
      </c>
    </row>
    <row r="18" spans="1:5" ht="42" customHeight="1">
      <c r="A18" s="2" t="s">
        <v>208</v>
      </c>
      <c r="B18" s="2" t="s">
        <v>209</v>
      </c>
      <c r="C18" s="2" t="s">
        <v>156</v>
      </c>
      <c r="D18" s="2" t="s">
        <v>210</v>
      </c>
      <c r="E18" s="2" t="s">
        <v>211</v>
      </c>
    </row>
    <row r="19" spans="1:5" ht="42" customHeight="1">
      <c r="A19" s="2" t="s">
        <v>212</v>
      </c>
      <c r="B19" s="2" t="s">
        <v>213</v>
      </c>
      <c r="C19" s="2" t="s">
        <v>214</v>
      </c>
      <c r="D19" s="2" t="s">
        <v>215</v>
      </c>
      <c r="E19" s="2" t="s">
        <v>216</v>
      </c>
    </row>
  </sheetData>
  <mergeCells count="2">
    <mergeCell ref="A1:E1"/>
    <mergeCell ref="A2:E2"/>
  </mergeCells>
  <hyperlinks>
    <hyperlink ref="D7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</hyperlink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</vt:i4>
      </vt:variant>
    </vt:vector>
  </HeadingPairs>
  <TitlesOfParts>
    <vt:vector size="34" baseType="lpstr">
      <vt:lpstr>Read me</vt:lpstr>
      <vt:lpstr>Inputs</vt:lpstr>
      <vt:lpstr>Book</vt:lpstr>
      <vt:lpstr>Price sensitivity</vt:lpstr>
      <vt:lpstr>Ramp</vt:lpstr>
      <vt:lpstr>Ramp scenarios</vt:lpstr>
      <vt:lpstr>Workload</vt:lpstr>
      <vt:lpstr>Thresholds</vt:lpstr>
      <vt:lpstr>Residual</vt:lpstr>
      <vt:lpstr>Employee</vt:lpstr>
      <vt:lpstr>Sources</vt:lpstr>
      <vt:lpstr>AcquisitionHours</vt:lpstr>
      <vt:lpstr>AdminHours</vt:lpstr>
      <vt:lpstr>CashCAC</vt:lpstr>
      <vt:lpstr>ClientRevenue</vt:lpstr>
      <vt:lpstr>CommissionPerSale</vt:lpstr>
      <vt:lpstr>DirectContribution</vt:lpstr>
      <vt:lpstr>EmployeeHourly</vt:lpstr>
      <vt:lpstr>EmployeeSalesMonth</vt:lpstr>
      <vt:lpstr>EntryRate</vt:lpstr>
      <vt:lpstr>FoundingBonus</vt:lpstr>
      <vt:lpstr>HoursPerWeek</vt:lpstr>
      <vt:lpstr>MatureClients</vt:lpstr>
      <vt:lpstr>MidRate</vt:lpstr>
      <vt:lpstr>MidThreshold</vt:lpstr>
      <vt:lpstr>MonthlyChurn</vt:lpstr>
      <vt:lpstr>MonthlyExpenses</vt:lpstr>
      <vt:lpstr>PaidWeeks</vt:lpstr>
      <vt:lpstr>RampAcquisitions</vt:lpstr>
      <vt:lpstr>ResidualRate</vt:lpstr>
      <vt:lpstr>SupportHours</vt:lpstr>
      <vt:lpstr>TargetGross</vt:lpstr>
      <vt:lpstr>TopRate</vt:lpstr>
      <vt:lpstr>TopThreshold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Spindle earnings model</dc:title>
  <dc:subject>Illustrative employee and operator economics</dc:subject>
  <dc:creator/>
  <cp:lastModifiedBy/>
  <dcterms:created xsi:type="dcterms:W3CDTF">2026-09-10T14:01:50Z</dcterms:created>
  <dcterms:modified xsi:type="dcterms:W3CDTF">2026-09-10T14:01:50Z</dcterms:modified>
</cp:coreProperties>
</file>